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Pawan\Zerodha\BAL\"/>
    </mc:Choice>
  </mc:AlternateContent>
  <xr:revisionPtr revIDLastSave="0" documentId="13_ncr:1_{438B0E62-F679-4D7B-BEA8-A524F01DE0CE}" xr6:coauthVersionLast="47" xr6:coauthVersionMax="47" xr10:uidLastSave="{00000000-0000-0000-0000-000000000000}"/>
  <bookViews>
    <workbookView xWindow="-120" yWindow="-120" windowWidth="20730" windowHeight="11160" xr2:uid="{061DF9BC-F89B-40A8-A8BD-E4834B54CAFD}"/>
  </bookViews>
  <sheets>
    <sheet name="DCF" sheetId="16" r:id="rId1"/>
    <sheet name="Scenario analysis" sheetId="17" r:id="rId2"/>
    <sheet name="Relative" sheetId="20" r:id="rId3"/>
    <sheet name="Ratio Analysis" sheetId="11" r:id="rId4"/>
    <sheet name="Assumptions" sheetId="8" r:id="rId5"/>
    <sheet name="Revenue Model" sheetId="9" r:id="rId6"/>
    <sheet name="Income Statement" sheetId="6" r:id="rId7"/>
    <sheet name="Balance Sheet" sheetId="4" r:id="rId8"/>
    <sheet name="CashFlow Statement" sheetId="7" r:id="rId9"/>
    <sheet name="Capex" sheetId="13" r:id="rId10"/>
    <sheet name="Investment" sheetId="3" r:id="rId11"/>
  </sheets>
  <definedNames>
    <definedName name="Base_case">'Scenario analysis'!$C$6</definedName>
    <definedName name="Best_case">'Scenario analysis'!$C$5</definedName>
    <definedName name="Worst_case">'Scenario analysis'!$C$7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60" i="4" l="1"/>
  <c r="K32" i="4"/>
  <c r="E29" i="11"/>
  <c r="E28" i="11"/>
  <c r="E27" i="11"/>
  <c r="E26" i="11"/>
  <c r="E25" i="11"/>
  <c r="E30" i="11" s="1"/>
  <c r="E24" i="11"/>
  <c r="G39" i="11"/>
  <c r="H39" i="11"/>
  <c r="F39" i="11"/>
  <c r="G35" i="11"/>
  <c r="H35" i="11"/>
  <c r="G36" i="11"/>
  <c r="H36" i="11"/>
  <c r="G37" i="11"/>
  <c r="H37" i="11"/>
  <c r="F37" i="11"/>
  <c r="F36" i="11"/>
  <c r="F35" i="11"/>
  <c r="G11" i="11"/>
  <c r="H11" i="11"/>
  <c r="F11" i="11"/>
  <c r="G14" i="11"/>
  <c r="H14" i="11"/>
  <c r="F14" i="11"/>
  <c r="F5" i="11"/>
  <c r="G5" i="11"/>
  <c r="H5" i="11"/>
  <c r="F6" i="11"/>
  <c r="G6" i="11"/>
  <c r="H6" i="11"/>
  <c r="F7" i="11"/>
  <c r="G7" i="11"/>
  <c r="H7" i="11"/>
  <c r="F8" i="11"/>
  <c r="G8" i="11"/>
  <c r="H8" i="11"/>
  <c r="E8" i="11"/>
  <c r="E7" i="11"/>
  <c r="E6" i="11"/>
  <c r="E5" i="11"/>
  <c r="G23" i="11"/>
  <c r="H23" i="11"/>
  <c r="F23" i="11"/>
  <c r="G22" i="11"/>
  <c r="H22" i="11"/>
  <c r="F22" i="11"/>
  <c r="K62" i="4" l="1"/>
  <c r="F10" i="9" l="1"/>
  <c r="G10" i="9"/>
  <c r="H10" i="9"/>
  <c r="I24" i="20"/>
  <c r="G24" i="20"/>
  <c r="E24" i="20"/>
  <c r="C24" i="20"/>
  <c r="C18" i="20"/>
  <c r="D18" i="20"/>
  <c r="E18" i="20"/>
  <c r="F18" i="20"/>
  <c r="G18" i="20"/>
  <c r="I18" i="20"/>
  <c r="B18" i="20"/>
  <c r="C17" i="20"/>
  <c r="D17" i="20"/>
  <c r="E17" i="20"/>
  <c r="F17" i="20"/>
  <c r="G17" i="20"/>
  <c r="I17" i="20"/>
  <c r="B17" i="20"/>
  <c r="G16" i="20"/>
  <c r="F16" i="20"/>
  <c r="E16" i="20"/>
  <c r="D16" i="20"/>
  <c r="C16" i="20"/>
  <c r="B16" i="20"/>
  <c r="E13" i="20" l="1"/>
  <c r="G13" i="20"/>
  <c r="I26" i="20"/>
  <c r="G26" i="20"/>
  <c r="E26" i="20"/>
  <c r="H12" i="20"/>
  <c r="H15" i="20"/>
  <c r="I15" i="20"/>
  <c r="I16" i="20" s="1"/>
  <c r="I13" i="20"/>
  <c r="H8" i="20"/>
  <c r="H7" i="20"/>
  <c r="H6" i="20"/>
  <c r="H17" i="20" s="1"/>
  <c r="H5" i="20"/>
  <c r="H18" i="20" l="1"/>
  <c r="I22" i="20"/>
  <c r="I20" i="20"/>
  <c r="I21" i="20"/>
  <c r="G21" i="20"/>
  <c r="G20" i="20"/>
  <c r="G22" i="20"/>
  <c r="E22" i="20"/>
  <c r="E20" i="20"/>
  <c r="E21" i="20"/>
  <c r="H16" i="20"/>
  <c r="C13" i="20"/>
  <c r="D18" i="16"/>
  <c r="J9" i="16"/>
  <c r="K9" i="16"/>
  <c r="L9" i="16"/>
  <c r="M9" i="16"/>
  <c r="I9" i="16"/>
  <c r="J7" i="16"/>
  <c r="K7" i="16"/>
  <c r="L7" i="16"/>
  <c r="M7" i="16"/>
  <c r="I7" i="16"/>
  <c r="J5" i="17"/>
  <c r="J6" i="8" s="1"/>
  <c r="K5" i="17"/>
  <c r="K6" i="8" s="1"/>
  <c r="L5" i="17"/>
  <c r="L6" i="8" s="1"/>
  <c r="M5" i="17"/>
  <c r="M6" i="8" s="1"/>
  <c r="J10" i="17"/>
  <c r="J7" i="8" s="1"/>
  <c r="K10" i="17"/>
  <c r="K7" i="8" s="1"/>
  <c r="L10" i="17"/>
  <c r="L7" i="8" s="1"/>
  <c r="M10" i="17"/>
  <c r="M7" i="8" s="1"/>
  <c r="J15" i="17"/>
  <c r="J8" i="8" s="1"/>
  <c r="K15" i="17"/>
  <c r="K8" i="8" s="1"/>
  <c r="L15" i="17"/>
  <c r="L8" i="8" s="1"/>
  <c r="M15" i="17"/>
  <c r="M8" i="8" s="1"/>
  <c r="J20" i="17"/>
  <c r="J9" i="8" s="1"/>
  <c r="K20" i="17"/>
  <c r="K9" i="8" s="1"/>
  <c r="L20" i="17"/>
  <c r="L9" i="8" s="1"/>
  <c r="M20" i="17"/>
  <c r="M9" i="8" s="1"/>
  <c r="I20" i="17"/>
  <c r="I9" i="8" s="1"/>
  <c r="I15" i="17"/>
  <c r="I8" i="8" s="1"/>
  <c r="I10" i="17"/>
  <c r="I7" i="8" s="1"/>
  <c r="D8" i="16"/>
  <c r="D13" i="16" s="1"/>
  <c r="C20" i="20" l="1"/>
  <c r="C22" i="20"/>
  <c r="C21" i="20"/>
  <c r="L15" i="16"/>
  <c r="K15" i="16"/>
  <c r="J15" i="16"/>
  <c r="M15" i="16"/>
  <c r="I15" i="16"/>
  <c r="E9" i="11" l="1"/>
  <c r="F10" i="11"/>
  <c r="G10" i="11"/>
  <c r="H10" i="11"/>
  <c r="E10" i="11"/>
  <c r="G9" i="11"/>
  <c r="H9" i="11"/>
  <c r="F9" i="11"/>
  <c r="H31" i="11"/>
  <c r="H32" i="11" s="1"/>
  <c r="G31" i="11"/>
  <c r="G32" i="11" s="1"/>
  <c r="F31" i="11"/>
  <c r="F32" i="11" s="1"/>
  <c r="F31" i="3"/>
  <c r="F33" i="3" s="1"/>
  <c r="E31" i="3"/>
  <c r="E33" i="3" s="1"/>
  <c r="F26" i="3"/>
  <c r="F27" i="3" s="1"/>
  <c r="E26" i="3"/>
  <c r="E27" i="3" s="1"/>
  <c r="F12" i="3"/>
  <c r="F19" i="3"/>
  <c r="G15" i="11"/>
  <c r="H15" i="11"/>
  <c r="F15" i="11"/>
  <c r="G12" i="11"/>
  <c r="H12" i="11"/>
  <c r="F12" i="11"/>
  <c r="H12" i="13"/>
  <c r="H10" i="13"/>
  <c r="J11" i="4"/>
  <c r="K11" i="4" s="1"/>
  <c r="L11" i="4" s="1"/>
  <c r="M11" i="4" s="1"/>
  <c r="J19" i="6"/>
  <c r="K19" i="6" s="1"/>
  <c r="I19" i="6"/>
  <c r="I29" i="7" s="1"/>
  <c r="G17" i="8"/>
  <c r="H17" i="8"/>
  <c r="F17" i="8"/>
  <c r="A17" i="8"/>
  <c r="G15" i="8"/>
  <c r="H15" i="8"/>
  <c r="F15" i="8"/>
  <c r="I15" i="8" s="1"/>
  <c r="I11" i="4"/>
  <c r="I74" i="7"/>
  <c r="I62" i="7"/>
  <c r="J62" i="7"/>
  <c r="K62" i="7"/>
  <c r="L62" i="7"/>
  <c r="M62" i="7"/>
  <c r="I60" i="7"/>
  <c r="J60" i="7"/>
  <c r="K60" i="7"/>
  <c r="L60" i="7"/>
  <c r="M60" i="7"/>
  <c r="J38" i="7"/>
  <c r="K38" i="7"/>
  <c r="L38" i="7"/>
  <c r="M38" i="7"/>
  <c r="I38" i="7"/>
  <c r="J29" i="7"/>
  <c r="J33" i="7" s="1"/>
  <c r="I28" i="7"/>
  <c r="J28" i="7"/>
  <c r="K28" i="7"/>
  <c r="L28" i="7"/>
  <c r="M28" i="7"/>
  <c r="I27" i="8"/>
  <c r="A28" i="8"/>
  <c r="A27" i="8"/>
  <c r="F28" i="11"/>
  <c r="F27" i="8" s="1"/>
  <c r="G28" i="11"/>
  <c r="G29" i="11" s="1"/>
  <c r="G28" i="8" s="1"/>
  <c r="H28" i="11"/>
  <c r="H29" i="11" s="1"/>
  <c r="H28" i="8" s="1"/>
  <c r="K28" i="8" s="1"/>
  <c r="J29" i="4"/>
  <c r="K29" i="4" s="1"/>
  <c r="J30" i="4"/>
  <c r="K30" i="4"/>
  <c r="L30" i="4"/>
  <c r="M30" i="4"/>
  <c r="I30" i="4"/>
  <c r="I29" i="4"/>
  <c r="I25" i="8"/>
  <c r="A25" i="8"/>
  <c r="A23" i="8"/>
  <c r="A26" i="8"/>
  <c r="F26" i="11"/>
  <c r="F25" i="8" s="1"/>
  <c r="G26" i="11"/>
  <c r="G27" i="11" s="1"/>
  <c r="G26" i="8" s="1"/>
  <c r="H26" i="11"/>
  <c r="H25" i="8" s="1"/>
  <c r="A24" i="8"/>
  <c r="F24" i="11"/>
  <c r="F23" i="8" s="1"/>
  <c r="G24" i="11"/>
  <c r="G23" i="8" s="1"/>
  <c r="H24" i="11"/>
  <c r="H25" i="11" s="1"/>
  <c r="H24" i="8" s="1"/>
  <c r="J55" i="4"/>
  <c r="K55" i="4"/>
  <c r="L55" i="4"/>
  <c r="M55" i="4"/>
  <c r="I55" i="4"/>
  <c r="J54" i="4"/>
  <c r="K54" i="4"/>
  <c r="L54" i="4"/>
  <c r="M54" i="4"/>
  <c r="I54" i="4"/>
  <c r="J57" i="4"/>
  <c r="K57" i="4"/>
  <c r="L57" i="4"/>
  <c r="M57" i="4"/>
  <c r="J58" i="4"/>
  <c r="K58" i="4"/>
  <c r="L58" i="4"/>
  <c r="M58" i="4"/>
  <c r="I58" i="4"/>
  <c r="I57" i="4"/>
  <c r="J56" i="4"/>
  <c r="K56" i="4" s="1"/>
  <c r="I56" i="4"/>
  <c r="I48" i="4"/>
  <c r="J48" i="4" s="1"/>
  <c r="J47" i="4"/>
  <c r="K47" i="4" s="1"/>
  <c r="L47" i="4" s="1"/>
  <c r="M47" i="4" s="1"/>
  <c r="I47" i="4"/>
  <c r="J46" i="4"/>
  <c r="K46" i="4"/>
  <c r="L46" i="4"/>
  <c r="M46" i="4"/>
  <c r="I46" i="4"/>
  <c r="J45" i="4"/>
  <c r="K45" i="4"/>
  <c r="L45" i="4"/>
  <c r="M45" i="4"/>
  <c r="I45" i="4"/>
  <c r="J44" i="4"/>
  <c r="K44" i="4" s="1"/>
  <c r="I44" i="4"/>
  <c r="I49" i="4"/>
  <c r="J36" i="4"/>
  <c r="K36" i="4" s="1"/>
  <c r="L36" i="4" s="1"/>
  <c r="M36" i="4" s="1"/>
  <c r="I36" i="4"/>
  <c r="J28" i="4"/>
  <c r="K28" i="4"/>
  <c r="L28" i="4"/>
  <c r="M28" i="4"/>
  <c r="I28" i="4"/>
  <c r="J27" i="4"/>
  <c r="K27" i="4" s="1"/>
  <c r="L27" i="4" s="1"/>
  <c r="M27" i="4" s="1"/>
  <c r="I27" i="4"/>
  <c r="I24" i="4"/>
  <c r="I18" i="4"/>
  <c r="J18" i="4" s="1"/>
  <c r="J16" i="4"/>
  <c r="K16" i="4" s="1"/>
  <c r="L16" i="4" s="1"/>
  <c r="M16" i="4" s="1"/>
  <c r="I16" i="4"/>
  <c r="J13" i="4"/>
  <c r="K13" i="4"/>
  <c r="L13" i="4" s="1"/>
  <c r="M13" i="4" s="1"/>
  <c r="I13" i="4"/>
  <c r="G22" i="8"/>
  <c r="H22" i="8"/>
  <c r="F22" i="8"/>
  <c r="J15" i="4"/>
  <c r="K15" i="4" s="1"/>
  <c r="L15" i="4" s="1"/>
  <c r="M15" i="4" s="1"/>
  <c r="I15" i="4"/>
  <c r="J17" i="4"/>
  <c r="K17" i="4" s="1"/>
  <c r="L17" i="4" s="1"/>
  <c r="M17" i="4" s="1"/>
  <c r="I17" i="4"/>
  <c r="I8" i="4"/>
  <c r="J8" i="4" s="1"/>
  <c r="K8" i="4" s="1"/>
  <c r="L8" i="4" s="1"/>
  <c r="M8" i="4" s="1"/>
  <c r="G21" i="8"/>
  <c r="H21" i="8"/>
  <c r="F21" i="8"/>
  <c r="F20" i="8"/>
  <c r="E18" i="13"/>
  <c r="E20" i="13" s="1"/>
  <c r="E10" i="13"/>
  <c r="H16" i="13"/>
  <c r="F18" i="13"/>
  <c r="F20" i="13" s="1"/>
  <c r="F10" i="13"/>
  <c r="F29" i="11" l="1"/>
  <c r="F28" i="8" s="1"/>
  <c r="G25" i="8"/>
  <c r="H27" i="11"/>
  <c r="H26" i="8" s="1"/>
  <c r="G25" i="11"/>
  <c r="F25" i="11"/>
  <c r="G27" i="8"/>
  <c r="H27" i="8"/>
  <c r="F27" i="11"/>
  <c r="F26" i="8" s="1"/>
  <c r="H23" i="8"/>
  <c r="I33" i="7"/>
  <c r="K29" i="7"/>
  <c r="K33" i="7" s="1"/>
  <c r="L19" i="6"/>
  <c r="J15" i="8"/>
  <c r="J24" i="4"/>
  <c r="K24" i="4" s="1"/>
  <c r="L24" i="4" s="1"/>
  <c r="M24" i="4" s="1"/>
  <c r="K27" i="8"/>
  <c r="L28" i="8"/>
  <c r="L27" i="8" s="1"/>
  <c r="J27" i="8"/>
  <c r="L29" i="4"/>
  <c r="M29" i="4" s="1"/>
  <c r="J26" i="8"/>
  <c r="J25" i="8" s="1"/>
  <c r="L56" i="4"/>
  <c r="J49" i="4"/>
  <c r="K48" i="4"/>
  <c r="L48" i="4" s="1"/>
  <c r="M48" i="4" s="1"/>
  <c r="K49" i="4"/>
  <c r="L44" i="4"/>
  <c r="K18" i="4"/>
  <c r="G24" i="8" l="1"/>
  <c r="G30" i="11"/>
  <c r="H30" i="11"/>
  <c r="F24" i="8"/>
  <c r="F30" i="11"/>
  <c r="L29" i="7"/>
  <c r="L33" i="7" s="1"/>
  <c r="M19" i="6"/>
  <c r="M29" i="7" s="1"/>
  <c r="M33" i="7" s="1"/>
  <c r="K15" i="8"/>
  <c r="M15" i="8" s="1"/>
  <c r="L15" i="8"/>
  <c r="M28" i="8"/>
  <c r="M27" i="8" s="1"/>
  <c r="K26" i="8"/>
  <c r="K25" i="8" s="1"/>
  <c r="M56" i="4"/>
  <c r="L49" i="4"/>
  <c r="M44" i="4"/>
  <c r="M49" i="4" s="1"/>
  <c r="L18" i="4"/>
  <c r="I24" i="8" l="1"/>
  <c r="I23" i="8" s="1"/>
  <c r="L26" i="8"/>
  <c r="M26" i="8" s="1"/>
  <c r="M25" i="8" s="1"/>
  <c r="M18" i="4"/>
  <c r="J24" i="8" l="1"/>
  <c r="J23" i="8" s="1"/>
  <c r="L25" i="8"/>
  <c r="K24" i="8" l="1"/>
  <c r="K23" i="8" s="1"/>
  <c r="L24" i="8"/>
  <c r="L23" i="8" s="1"/>
  <c r="G18" i="13"/>
  <c r="H15" i="13" s="1"/>
  <c r="H18" i="13" s="1"/>
  <c r="I15" i="13" s="1"/>
  <c r="M24" i="8" l="1"/>
  <c r="M23" i="8" s="1"/>
  <c r="F16" i="8"/>
  <c r="G14" i="8"/>
  <c r="H14" i="8"/>
  <c r="F14" i="8"/>
  <c r="G13" i="8"/>
  <c r="H13" i="8"/>
  <c r="F13" i="8"/>
  <c r="G12" i="8"/>
  <c r="H12" i="8"/>
  <c r="F12" i="8"/>
  <c r="G11" i="8"/>
  <c r="H11" i="8"/>
  <c r="I11" i="8" s="1"/>
  <c r="F11" i="8"/>
  <c r="D8" i="6"/>
  <c r="G10" i="8"/>
  <c r="H10" i="8"/>
  <c r="F10" i="8"/>
  <c r="J14" i="9"/>
  <c r="K14" i="9"/>
  <c r="L14" i="9"/>
  <c r="M14" i="9"/>
  <c r="I14" i="9"/>
  <c r="J18" i="9"/>
  <c r="K18" i="9"/>
  <c r="L18" i="9"/>
  <c r="M18" i="9"/>
  <c r="I18" i="9"/>
  <c r="H16" i="9"/>
  <c r="H20" i="9" s="1"/>
  <c r="J9" i="9"/>
  <c r="I13" i="8" l="1"/>
  <c r="J13" i="8"/>
  <c r="K13" i="8" s="1"/>
  <c r="I10" i="8"/>
  <c r="J10" i="8" s="1"/>
  <c r="L13" i="8" l="1"/>
  <c r="M13" i="8" s="1"/>
  <c r="K10" i="8"/>
  <c r="L10" i="8" s="1"/>
  <c r="M10" i="8" l="1"/>
  <c r="H78" i="7" l="1"/>
  <c r="H76" i="7"/>
  <c r="H72" i="7"/>
  <c r="H70" i="7"/>
  <c r="H62" i="7"/>
  <c r="H63" i="7" s="1"/>
  <c r="H60" i="7"/>
  <c r="H55" i="7"/>
  <c r="H44" i="7"/>
  <c r="H42" i="7"/>
  <c r="H40" i="7"/>
  <c r="H33" i="7"/>
  <c r="H34" i="7"/>
  <c r="H28" i="7"/>
  <c r="H17" i="7"/>
  <c r="E76" i="7"/>
  <c r="E72" i="7"/>
  <c r="E70" i="7"/>
  <c r="G70" i="7"/>
  <c r="F70" i="7"/>
  <c r="E60" i="7"/>
  <c r="E62" i="7" s="1"/>
  <c r="E63" i="7" s="1"/>
  <c r="E55" i="7"/>
  <c r="E40" i="7"/>
  <c r="E28" i="7"/>
  <c r="E33" i="7" s="1"/>
  <c r="E17" i="7"/>
  <c r="E59" i="4"/>
  <c r="E60" i="4" s="1"/>
  <c r="E49" i="4"/>
  <c r="E40" i="4"/>
  <c r="E38" i="4"/>
  <c r="E32" i="4"/>
  <c r="E31" i="4"/>
  <c r="E19" i="4"/>
  <c r="H59" i="4"/>
  <c r="H49" i="4"/>
  <c r="H38" i="4"/>
  <c r="H40" i="4" s="1"/>
  <c r="H60" i="4" s="1"/>
  <c r="H31" i="4"/>
  <c r="H19" i="4"/>
  <c r="H32" i="4" s="1"/>
  <c r="H26" i="6"/>
  <c r="H7" i="6"/>
  <c r="H9" i="6" s="1"/>
  <c r="H12" i="9"/>
  <c r="H7" i="9"/>
  <c r="H11" i="9"/>
  <c r="H6" i="9"/>
  <c r="G6" i="9"/>
  <c r="F6" i="9"/>
  <c r="E6" i="9"/>
  <c r="E13" i="9"/>
  <c r="E21" i="9" s="1"/>
  <c r="F45" i="9"/>
  <c r="G40" i="9"/>
  <c r="F40" i="9"/>
  <c r="G13" i="9"/>
  <c r="F13" i="9"/>
  <c r="F61" i="9"/>
  <c r="G61" i="9"/>
  <c r="F62" i="9"/>
  <c r="F7" i="9" s="1"/>
  <c r="G62" i="9"/>
  <c r="G7" i="9" s="1"/>
  <c r="E62" i="9"/>
  <c r="E7" i="9" s="1"/>
  <c r="E61" i="9"/>
  <c r="F58" i="9"/>
  <c r="G58" i="9"/>
  <c r="E58" i="9"/>
  <c r="F53" i="9"/>
  <c r="G53" i="9"/>
  <c r="E53" i="9"/>
  <c r="G47" i="9"/>
  <c r="F36" i="9"/>
  <c r="G36" i="9"/>
  <c r="E36" i="9"/>
  <c r="G35" i="9"/>
  <c r="F35" i="9"/>
  <c r="G33" i="9"/>
  <c r="F33" i="9"/>
  <c r="E26" i="6"/>
  <c r="E7" i="6"/>
  <c r="E9" i="6" s="1"/>
  <c r="A5" i="8"/>
  <c r="F60" i="7"/>
  <c r="F62" i="7" s="1"/>
  <c r="F55" i="7"/>
  <c r="G60" i="7"/>
  <c r="G62" i="7" s="1"/>
  <c r="G55" i="7"/>
  <c r="F28" i="7"/>
  <c r="F33" i="7" s="1"/>
  <c r="F40" i="7"/>
  <c r="F17" i="7"/>
  <c r="E62" i="4" l="1"/>
  <c r="E12" i="6"/>
  <c r="G21" i="9"/>
  <c r="G14" i="9"/>
  <c r="G7" i="8" s="1"/>
  <c r="F21" i="9"/>
  <c r="F22" i="9" s="1"/>
  <c r="F9" i="8" s="1"/>
  <c r="F14" i="9"/>
  <c r="F7" i="8" s="1"/>
  <c r="F8" i="9"/>
  <c r="E34" i="7"/>
  <c r="E42" i="7" s="1"/>
  <c r="E44" i="7" s="1"/>
  <c r="F63" i="7"/>
  <c r="G63" i="7"/>
  <c r="H62" i="4"/>
  <c r="H13" i="9"/>
  <c r="I13" i="9" s="1"/>
  <c r="J13" i="9" s="1"/>
  <c r="K13" i="9" s="1"/>
  <c r="L13" i="9" s="1"/>
  <c r="M13" i="9" s="1"/>
  <c r="H8" i="9"/>
  <c r="H5" i="13" s="1"/>
  <c r="G8" i="9"/>
  <c r="E8" i="9"/>
  <c r="E5" i="13" s="1"/>
  <c r="E63" i="9"/>
  <c r="F63" i="9"/>
  <c r="G63" i="9"/>
  <c r="F34" i="7"/>
  <c r="F42" i="7" s="1"/>
  <c r="F44" i="7" s="1"/>
  <c r="F72" i="7" s="1"/>
  <c r="F76" i="7" s="1"/>
  <c r="G24" i="9" l="1"/>
  <c r="G5" i="13"/>
  <c r="F24" i="9"/>
  <c r="F5" i="13"/>
  <c r="H12" i="6"/>
  <c r="E14" i="6"/>
  <c r="E18" i="6" s="1"/>
  <c r="E20" i="6" s="1"/>
  <c r="E22" i="6" s="1"/>
  <c r="E27" i="6" s="1"/>
  <c r="G22" i="9"/>
  <c r="G9" i="8" s="1"/>
  <c r="E17" i="9"/>
  <c r="E24" i="9"/>
  <c r="H9" i="9"/>
  <c r="H6" i="8" s="1"/>
  <c r="H24" i="9"/>
  <c r="H17" i="9"/>
  <c r="H14" i="9"/>
  <c r="H7" i="8" s="1"/>
  <c r="H21" i="9"/>
  <c r="G17" i="9"/>
  <c r="G9" i="9"/>
  <c r="G6" i="8" s="1"/>
  <c r="F17" i="9"/>
  <c r="F9" i="9"/>
  <c r="F6" i="8" s="1"/>
  <c r="F18" i="9" l="1"/>
  <c r="F8" i="8" s="1"/>
  <c r="H14" i="6"/>
  <c r="H22" i="9"/>
  <c r="H9" i="8" s="1"/>
  <c r="I22" i="9" s="1"/>
  <c r="I21" i="9" s="1"/>
  <c r="L9" i="9"/>
  <c r="K9" i="9"/>
  <c r="H18" i="9"/>
  <c r="H8" i="8" s="1"/>
  <c r="I17" i="9"/>
  <c r="G18" i="9"/>
  <c r="G8" i="8" s="1"/>
  <c r="M9" i="9" l="1"/>
  <c r="H18" i="6"/>
  <c r="H20" i="6" s="1"/>
  <c r="H22" i="6" s="1"/>
  <c r="H27" i="6" s="1"/>
  <c r="I20" i="9"/>
  <c r="K22" i="9"/>
  <c r="J17" i="9"/>
  <c r="G40" i="7"/>
  <c r="G28" i="7"/>
  <c r="G33" i="7" s="1"/>
  <c r="G17" i="7"/>
  <c r="F26" i="6"/>
  <c r="G26" i="6"/>
  <c r="F7" i="6"/>
  <c r="F9" i="6" s="1"/>
  <c r="G7" i="6"/>
  <c r="G9" i="6" s="1"/>
  <c r="F38" i="4"/>
  <c r="F40" i="4"/>
  <c r="F59" i="4"/>
  <c r="F49" i="4"/>
  <c r="G49" i="4"/>
  <c r="G59" i="4"/>
  <c r="G38" i="4"/>
  <c r="G40" i="4" s="1"/>
  <c r="F32" i="4"/>
  <c r="F31" i="4"/>
  <c r="G31" i="4"/>
  <c r="F19" i="4"/>
  <c r="G19" i="4"/>
  <c r="G32" i="4" s="1"/>
  <c r="H13" i="11" l="1"/>
  <c r="H16" i="11" s="1"/>
  <c r="H19" i="11"/>
  <c r="F12" i="6"/>
  <c r="J22" i="9"/>
  <c r="J21" i="9" s="1"/>
  <c r="J20" i="9" s="1"/>
  <c r="G12" i="6"/>
  <c r="L22" i="9"/>
  <c r="K17" i="9"/>
  <c r="G60" i="4"/>
  <c r="G62" i="4" s="1"/>
  <c r="F60" i="4"/>
  <c r="F62" i="4" s="1"/>
  <c r="G34" i="7"/>
  <c r="G42" i="7" s="1"/>
  <c r="G44" i="7" s="1"/>
  <c r="G72" i="7" s="1"/>
  <c r="G76" i="7" s="1"/>
  <c r="H29" i="8" l="1"/>
  <c r="H17" i="11"/>
  <c r="H18" i="11" s="1"/>
  <c r="G14" i="6"/>
  <c r="G18" i="6" s="1"/>
  <c r="F14" i="6"/>
  <c r="F18" i="6" s="1"/>
  <c r="K21" i="9"/>
  <c r="L21" i="9" s="1"/>
  <c r="M22" i="9"/>
  <c r="L17" i="9"/>
  <c r="F20" i="6" l="1"/>
  <c r="F22" i="6" s="1"/>
  <c r="F27" i="6" s="1"/>
  <c r="G16" i="8"/>
  <c r="G20" i="6"/>
  <c r="G22" i="6" s="1"/>
  <c r="G27" i="6" s="1"/>
  <c r="H16" i="8"/>
  <c r="K20" i="9"/>
  <c r="M21" i="9"/>
  <c r="M20" i="9" s="1"/>
  <c r="L20" i="9"/>
  <c r="M17" i="9"/>
  <c r="F13" i="11" l="1"/>
  <c r="F16" i="11" s="1"/>
  <c r="F19" i="11"/>
  <c r="G13" i="11"/>
  <c r="G16" i="11" s="1"/>
  <c r="G19" i="11"/>
  <c r="F29" i="8" l="1"/>
  <c r="F17" i="11"/>
  <c r="F18" i="11" s="1"/>
  <c r="G29" i="8"/>
  <c r="G17" i="11"/>
  <c r="G18" i="11" s="1"/>
  <c r="H9" i="13"/>
  <c r="G20" i="13"/>
  <c r="G10" i="13"/>
  <c r="G20" i="8"/>
  <c r="I9" i="13" l="1"/>
  <c r="H20" i="8"/>
  <c r="H20" i="13"/>
  <c r="I16" i="13" l="1"/>
  <c r="I12" i="13"/>
  <c r="I13" i="6" l="1"/>
  <c r="I8" i="7" s="1"/>
  <c r="J9" i="13"/>
  <c r="I18" i="13"/>
  <c r="J15" i="13" l="1"/>
  <c r="J12" i="13"/>
  <c r="J16" i="13"/>
  <c r="J13" i="6" s="1"/>
  <c r="I20" i="13"/>
  <c r="I6" i="4" l="1"/>
  <c r="J8" i="7"/>
  <c r="I9" i="4"/>
  <c r="I54" i="7" s="1"/>
  <c r="J18" i="13"/>
  <c r="K15" i="13" s="1"/>
  <c r="K9" i="13"/>
  <c r="I7" i="4" l="1"/>
  <c r="J20" i="13"/>
  <c r="J6" i="4" s="1"/>
  <c r="J7" i="4" s="1"/>
  <c r="K12" i="13"/>
  <c r="K16" i="13"/>
  <c r="K13" i="6" s="1"/>
  <c r="J9" i="4" l="1"/>
  <c r="J54" i="7" s="1"/>
  <c r="I52" i="7"/>
  <c r="J52" i="7"/>
  <c r="I19" i="4"/>
  <c r="J55" i="7"/>
  <c r="J63" i="7" s="1"/>
  <c r="K8" i="7"/>
  <c r="I55" i="7"/>
  <c r="I63" i="7" s="1"/>
  <c r="J19" i="4"/>
  <c r="L9" i="13"/>
  <c r="K18" i="13"/>
  <c r="L15" i="13" s="1"/>
  <c r="L12" i="13" l="1"/>
  <c r="L16" i="13"/>
  <c r="L13" i="6" s="1"/>
  <c r="K20" i="13"/>
  <c r="K6" i="4" s="1"/>
  <c r="L8" i="7" l="1"/>
  <c r="L18" i="13"/>
  <c r="M15" i="13" s="1"/>
  <c r="K7" i="4"/>
  <c r="K52" i="7" s="1"/>
  <c r="K9" i="4"/>
  <c r="M9" i="13"/>
  <c r="K54" i="7" l="1"/>
  <c r="K55" i="7" s="1"/>
  <c r="K63" i="7" s="1"/>
  <c r="L20" i="13"/>
  <c r="L6" i="4" s="1"/>
  <c r="L9" i="4" s="1"/>
  <c r="M12" i="13"/>
  <c r="M16" i="13"/>
  <c r="K19" i="4"/>
  <c r="L7" i="4" l="1"/>
  <c r="L52" i="7" s="1"/>
  <c r="L54" i="7"/>
  <c r="L55" i="7"/>
  <c r="L63" i="7" s="1"/>
  <c r="M13" i="6"/>
  <c r="M18" i="13"/>
  <c r="M20" i="13" s="1"/>
  <c r="M6" i="4" s="1"/>
  <c r="L19" i="4"/>
  <c r="M8" i="7" l="1"/>
  <c r="M9" i="4"/>
  <c r="M54" i="7" s="1"/>
  <c r="M7" i="4"/>
  <c r="M52" i="7" s="1"/>
  <c r="M55" i="7" l="1"/>
  <c r="M63" i="7" s="1"/>
  <c r="M19" i="4"/>
  <c r="I5" i="17" l="1"/>
  <c r="I6" i="8" s="1"/>
  <c r="I9" i="9" s="1"/>
  <c r="I8" i="9" s="1"/>
  <c r="I24" i="9" l="1"/>
  <c r="J8" i="9"/>
  <c r="I5" i="13"/>
  <c r="I7" i="13" s="1"/>
  <c r="I16" i="9"/>
  <c r="I5" i="6" s="1"/>
  <c r="I15" i="6" l="1"/>
  <c r="I22" i="4"/>
  <c r="I6" i="6"/>
  <c r="I7" i="6" s="1"/>
  <c r="I11" i="6"/>
  <c r="I25" i="4"/>
  <c r="I10" i="6"/>
  <c r="I8" i="6"/>
  <c r="I53" i="4" s="1"/>
  <c r="I17" i="6"/>
  <c r="J5" i="13"/>
  <c r="J7" i="13" s="1"/>
  <c r="K8" i="9"/>
  <c r="J24" i="9"/>
  <c r="J16" i="9"/>
  <c r="J5" i="6" s="1"/>
  <c r="I59" i="4" l="1"/>
  <c r="I39" i="7"/>
  <c r="K5" i="13"/>
  <c r="K7" i="13" s="1"/>
  <c r="L8" i="9"/>
  <c r="K24" i="9"/>
  <c r="K16" i="9"/>
  <c r="K5" i="6" s="1"/>
  <c r="I36" i="7"/>
  <c r="J15" i="6"/>
  <c r="J10" i="6"/>
  <c r="J17" i="6"/>
  <c r="J6" i="6"/>
  <c r="J7" i="6" s="1"/>
  <c r="J8" i="6"/>
  <c r="J53" i="4" s="1"/>
  <c r="J22" i="4"/>
  <c r="J25" i="4"/>
  <c r="J11" i="6"/>
  <c r="I9" i="6"/>
  <c r="I12" i="6" s="1"/>
  <c r="I14" i="6" s="1"/>
  <c r="I37" i="7"/>
  <c r="I16" i="7"/>
  <c r="I17" i="7" s="1"/>
  <c r="I66" i="7"/>
  <c r="J9" i="6" l="1"/>
  <c r="I40" i="7"/>
  <c r="I8" i="16" s="1"/>
  <c r="I18" i="6"/>
  <c r="I4" i="16"/>
  <c r="I6" i="16" s="1"/>
  <c r="J59" i="4"/>
  <c r="J39" i="7"/>
  <c r="J66" i="7"/>
  <c r="J16" i="7"/>
  <c r="J17" i="7" s="1"/>
  <c r="J12" i="6"/>
  <c r="J14" i="6" s="1"/>
  <c r="L5" i="13"/>
  <c r="L7" i="13" s="1"/>
  <c r="L24" i="9"/>
  <c r="M8" i="9"/>
  <c r="L16" i="9"/>
  <c r="L5" i="6" s="1"/>
  <c r="K15" i="6"/>
  <c r="K25" i="4"/>
  <c r="K37" i="7" s="1"/>
  <c r="K10" i="6"/>
  <c r="K8" i="6"/>
  <c r="K53" i="4" s="1"/>
  <c r="K17" i="6"/>
  <c r="K22" i="4"/>
  <c r="K6" i="6"/>
  <c r="K7" i="6" s="1"/>
  <c r="K11" i="6"/>
  <c r="J37" i="7"/>
  <c r="J36" i="7"/>
  <c r="I10" i="16" l="1"/>
  <c r="I16" i="16" s="1"/>
  <c r="K36" i="7"/>
  <c r="K39" i="7"/>
  <c r="K59" i="4"/>
  <c r="J40" i="7"/>
  <c r="J8" i="16" s="1"/>
  <c r="M5" i="13"/>
  <c r="M7" i="13" s="1"/>
  <c r="M24" i="9"/>
  <c r="M16" i="9"/>
  <c r="M5" i="6" s="1"/>
  <c r="J18" i="6"/>
  <c r="J4" i="16"/>
  <c r="J6" i="16" s="1"/>
  <c r="L15" i="6"/>
  <c r="L8" i="6"/>
  <c r="L53" i="4" s="1"/>
  <c r="L6" i="6"/>
  <c r="L7" i="6" s="1"/>
  <c r="L25" i="4"/>
  <c r="L37" i="7" s="1"/>
  <c r="L11" i="6"/>
  <c r="L10" i="6"/>
  <c r="L22" i="4"/>
  <c r="L36" i="7" s="1"/>
  <c r="L17" i="6"/>
  <c r="K9" i="6"/>
  <c r="K12" i="6" s="1"/>
  <c r="K14" i="6" s="1"/>
  <c r="K66" i="7"/>
  <c r="K16" i="7"/>
  <c r="K17" i="7" s="1"/>
  <c r="I24" i="6"/>
  <c r="I26" i="6" s="1"/>
  <c r="I43" i="7" s="1"/>
  <c r="I20" i="6"/>
  <c r="I22" i="6" s="1"/>
  <c r="K40" i="7" l="1"/>
  <c r="K8" i="16" s="1"/>
  <c r="J10" i="16"/>
  <c r="J16" i="16" s="1"/>
  <c r="J24" i="6"/>
  <c r="J26" i="6" s="1"/>
  <c r="J43" i="7" s="1"/>
  <c r="J20" i="6"/>
  <c r="J22" i="6" s="1"/>
  <c r="L16" i="7"/>
  <c r="L17" i="7" s="1"/>
  <c r="L66" i="7"/>
  <c r="M15" i="6"/>
  <c r="M25" i="4"/>
  <c r="M37" i="7" s="1"/>
  <c r="M10" i="6"/>
  <c r="M22" i="4"/>
  <c r="M36" i="7" s="1"/>
  <c r="M11" i="6"/>
  <c r="M17" i="6"/>
  <c r="M8" i="6"/>
  <c r="M53" i="4" s="1"/>
  <c r="M6" i="6"/>
  <c r="M7" i="6" s="1"/>
  <c r="I5" i="7"/>
  <c r="I34" i="7" s="1"/>
  <c r="I42" i="7" s="1"/>
  <c r="I44" i="7" s="1"/>
  <c r="I27" i="6"/>
  <c r="L59" i="4"/>
  <c r="L39" i="7"/>
  <c r="L40" i="7" s="1"/>
  <c r="L8" i="16" s="1"/>
  <c r="K18" i="6"/>
  <c r="K4" i="16"/>
  <c r="K6" i="16" s="1"/>
  <c r="L9" i="6"/>
  <c r="L12" i="6" s="1"/>
  <c r="L14" i="6" s="1"/>
  <c r="K10" i="16" l="1"/>
  <c r="K16" i="16" s="1"/>
  <c r="M39" i="7"/>
  <c r="M40" i="7" s="1"/>
  <c r="M8" i="16" s="1"/>
  <c r="M59" i="4"/>
  <c r="I68" i="7"/>
  <c r="I70" i="7" s="1"/>
  <c r="I72" i="7" s="1"/>
  <c r="I76" i="7" s="1"/>
  <c r="I37" i="4"/>
  <c r="J5" i="7"/>
  <c r="J34" i="7" s="1"/>
  <c r="J42" i="7" s="1"/>
  <c r="J44" i="7" s="1"/>
  <c r="J27" i="6"/>
  <c r="J68" i="7" s="1"/>
  <c r="J70" i="7" s="1"/>
  <c r="L4" i="16"/>
  <c r="L6" i="16" s="1"/>
  <c r="L10" i="16" s="1"/>
  <c r="L16" i="16" s="1"/>
  <c r="L18" i="6"/>
  <c r="M66" i="7"/>
  <c r="M16" i="7"/>
  <c r="M17" i="7" s="1"/>
  <c r="K20" i="6"/>
  <c r="K22" i="6" s="1"/>
  <c r="K24" i="6"/>
  <c r="K26" i="6" s="1"/>
  <c r="K43" i="7" s="1"/>
  <c r="M9" i="6"/>
  <c r="M12" i="6" s="1"/>
  <c r="M14" i="6" s="1"/>
  <c r="J72" i="7" l="1"/>
  <c r="I38" i="4"/>
  <c r="I40" i="4" s="1"/>
  <c r="I60" i="4" s="1"/>
  <c r="J37" i="4"/>
  <c r="K5" i="7"/>
  <c r="K34" i="7" s="1"/>
  <c r="K42" i="7" s="1"/>
  <c r="K44" i="7" s="1"/>
  <c r="K27" i="6"/>
  <c r="K68" i="7" s="1"/>
  <c r="K70" i="7" s="1"/>
  <c r="L20" i="6"/>
  <c r="L22" i="6" s="1"/>
  <c r="L24" i="6"/>
  <c r="L26" i="6" s="1"/>
  <c r="L43" i="7" s="1"/>
  <c r="M18" i="6"/>
  <c r="M4" i="16"/>
  <c r="M6" i="16" s="1"/>
  <c r="M10" i="16" s="1"/>
  <c r="M16" i="16" s="1"/>
  <c r="I26" i="4"/>
  <c r="I31" i="4" s="1"/>
  <c r="J74" i="7"/>
  <c r="J76" i="7" l="1"/>
  <c r="K74" i="7" s="1"/>
  <c r="I32" i="4"/>
  <c r="I62" i="4" s="1"/>
  <c r="I78" i="7" s="1"/>
  <c r="K72" i="7"/>
  <c r="M20" i="6"/>
  <c r="M22" i="6" s="1"/>
  <c r="M24" i="6"/>
  <c r="M26" i="6" s="1"/>
  <c r="M43" i="7" s="1"/>
  <c r="J38" i="4"/>
  <c r="J40" i="4" s="1"/>
  <c r="J60" i="4" s="1"/>
  <c r="K37" i="4"/>
  <c r="J26" i="4"/>
  <c r="J31" i="4" s="1"/>
  <c r="J32" i="4" s="1"/>
  <c r="L5" i="7"/>
  <c r="L34" i="7" s="1"/>
  <c r="L42" i="7" s="1"/>
  <c r="L44" i="7" s="1"/>
  <c r="L27" i="6"/>
  <c r="L68" i="7" s="1"/>
  <c r="L70" i="7" s="1"/>
  <c r="J62" i="4" l="1"/>
  <c r="J78" i="7" s="1"/>
  <c r="K76" i="7"/>
  <c r="L74" i="7" s="1"/>
  <c r="L72" i="7"/>
  <c r="K38" i="4"/>
  <c r="K40" i="4" s="1"/>
  <c r="L37" i="4"/>
  <c r="M5" i="7"/>
  <c r="M34" i="7" s="1"/>
  <c r="M42" i="7" s="1"/>
  <c r="M44" i="7" s="1"/>
  <c r="M27" i="6"/>
  <c r="K26" i="4" l="1"/>
  <c r="K31" i="4" s="1"/>
  <c r="M68" i="7"/>
  <c r="M70" i="7" s="1"/>
  <c r="M12" i="16"/>
  <c r="M17" i="16" s="1"/>
  <c r="D16" i="16" s="1"/>
  <c r="D19" i="16" s="1"/>
  <c r="D22" i="16" s="1"/>
  <c r="D8" i="17" s="1"/>
  <c r="L76" i="7"/>
  <c r="L26" i="4" s="1"/>
  <c r="L31" i="4" s="1"/>
  <c r="L32" i="4" s="1"/>
  <c r="M72" i="7"/>
  <c r="L38" i="4"/>
  <c r="L40" i="4" s="1"/>
  <c r="L60" i="4" s="1"/>
  <c r="M37" i="4"/>
  <c r="M38" i="4" s="1"/>
  <c r="M40" i="4" s="1"/>
  <c r="M60" i="4" s="1"/>
  <c r="M74" i="7" l="1"/>
  <c r="M76" i="7" s="1"/>
  <c r="M26" i="4" s="1"/>
  <c r="M31" i="4" s="1"/>
  <c r="M32" i="4" s="1"/>
  <c r="M62" i="4" s="1"/>
  <c r="M78" i="7" s="1"/>
  <c r="L62" i="4"/>
  <c r="L78" i="7" s="1"/>
  <c r="K78" i="7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Windows User</author>
  </authors>
  <commentList>
    <comment ref="D6" authorId="0" shapeId="0" xr:uid="{AE2B7210-5066-4980-B81A-1AFF977B11AF}">
      <text>
        <r>
          <rPr>
            <b/>
            <sz val="9"/>
            <color indexed="81"/>
            <rFont val="Tahoma"/>
            <charset val="1"/>
          </rPr>
          <t>Windows User:</t>
        </r>
        <r>
          <rPr>
            <sz val="9"/>
            <color indexed="81"/>
            <rFont val="Tahoma"/>
            <charset val="1"/>
          </rPr>
          <t xml:space="preserve">
Source Yahoo Finance 5Y monthly
</t>
        </r>
      </text>
    </comment>
  </commentList>
</comments>
</file>

<file path=xl/sharedStrings.xml><?xml version="1.0" encoding="utf-8"?>
<sst xmlns="http://schemas.openxmlformats.org/spreadsheetml/2006/main" count="463" uniqueCount="333">
  <si>
    <t>FY22</t>
  </si>
  <si>
    <t>Industry</t>
  </si>
  <si>
    <t>Bajaj Auto</t>
  </si>
  <si>
    <t>Chetak</t>
  </si>
  <si>
    <t>Chetak Technology Ltd</t>
  </si>
  <si>
    <t>Bajaj Auto (Thailand) Ltd</t>
  </si>
  <si>
    <t>Balance Sheet</t>
  </si>
  <si>
    <t>(All numbers in Rs Crs unless specified)</t>
  </si>
  <si>
    <t>Particulars</t>
  </si>
  <si>
    <t>LTM</t>
  </si>
  <si>
    <t>FY27 E</t>
  </si>
  <si>
    <t>FY26 E</t>
  </si>
  <si>
    <t>FY25 E</t>
  </si>
  <si>
    <t>FY24 E</t>
  </si>
  <si>
    <t>FY22 A</t>
  </si>
  <si>
    <t>FY21 A</t>
  </si>
  <si>
    <t>Assets</t>
  </si>
  <si>
    <t>Non Current Assets</t>
  </si>
  <si>
    <t>Property, Plant and Equipment</t>
  </si>
  <si>
    <t>Capital wok in progress</t>
  </si>
  <si>
    <t>Investment Property</t>
  </si>
  <si>
    <t>Intangible assets</t>
  </si>
  <si>
    <t>Intangible assets under development</t>
  </si>
  <si>
    <t>Investments in associate of subsidiary</t>
  </si>
  <si>
    <t>Financial assets</t>
  </si>
  <si>
    <t>Investments</t>
  </si>
  <si>
    <t>Trade Receivables</t>
  </si>
  <si>
    <t>Loans</t>
  </si>
  <si>
    <t>Other financial assets</t>
  </si>
  <si>
    <t>Income tax assets (net)</t>
  </si>
  <si>
    <t>Other non current assets</t>
  </si>
  <si>
    <t>Total Non current assets</t>
  </si>
  <si>
    <t>Current assets</t>
  </si>
  <si>
    <t>Inventories</t>
  </si>
  <si>
    <t>Cash and Cash equivalents</t>
  </si>
  <si>
    <t>Other bank balances</t>
  </si>
  <si>
    <t>Other current assets</t>
  </si>
  <si>
    <t>Total Current assets</t>
  </si>
  <si>
    <t>Total Assets</t>
  </si>
  <si>
    <t>EQUITY AND LIABILITIES</t>
  </si>
  <si>
    <t>Equity</t>
  </si>
  <si>
    <t>Equity share capital</t>
  </si>
  <si>
    <t>Other equity</t>
  </si>
  <si>
    <t>Equity attributable to owners of the Company</t>
  </si>
  <si>
    <t>Non-controlling interest</t>
  </si>
  <si>
    <t>Total equity</t>
  </si>
  <si>
    <t>Non-current liabilities</t>
  </si>
  <si>
    <t>Financial liabilities</t>
  </si>
  <si>
    <t>Sales tax deferral</t>
  </si>
  <si>
    <t>Provisions</t>
  </si>
  <si>
    <t>Deferred tax liabilities (net)</t>
  </si>
  <si>
    <t>Government grant</t>
  </si>
  <si>
    <t>Other non-current liabilities</t>
  </si>
  <si>
    <t>Total Non current liabilities</t>
  </si>
  <si>
    <t>Current liabilities</t>
  </si>
  <si>
    <t>Trade payables</t>
  </si>
  <si>
    <t>Other financial liabilities</t>
  </si>
  <si>
    <t>Other current liabilities</t>
  </si>
  <si>
    <t>Current tax liabilities (net)</t>
  </si>
  <si>
    <t>Total Current liabilities</t>
  </si>
  <si>
    <t>Total Equity and Liabilities</t>
  </si>
  <si>
    <t>Income Statement</t>
  </si>
  <si>
    <t>Revenue from contracts with customers</t>
  </si>
  <si>
    <t>Other operating revenue</t>
  </si>
  <si>
    <t>Revenue from operations</t>
  </si>
  <si>
    <t>Employee benefits expense</t>
  </si>
  <si>
    <t>Other expenses</t>
  </si>
  <si>
    <t>Depreciation and amortisation expense</t>
  </si>
  <si>
    <t>Finance costs</t>
  </si>
  <si>
    <t>Expenses, included in above items, capitalised</t>
  </si>
  <si>
    <t>Other income</t>
  </si>
  <si>
    <t>Profit before share of associates, expectional items and tax</t>
  </si>
  <si>
    <t>Share in profit of associate</t>
  </si>
  <si>
    <t>Profit before tax and exceptional items</t>
  </si>
  <si>
    <t>Exceptional items</t>
  </si>
  <si>
    <t xml:space="preserve">Profit before tax </t>
  </si>
  <si>
    <t>Tax expense</t>
  </si>
  <si>
    <t>Current tax</t>
  </si>
  <si>
    <t>Tax for earlier years</t>
  </si>
  <si>
    <t>Total income tax expense</t>
  </si>
  <si>
    <t xml:space="preserve">Net profit </t>
  </si>
  <si>
    <t>Earnings before Interest Tax Depreciation Amortization (EBITDA)</t>
  </si>
  <si>
    <t>Cashflow Statement</t>
  </si>
  <si>
    <t>Cash flow from operating activities</t>
  </si>
  <si>
    <t>Profit before tax</t>
  </si>
  <si>
    <t>Adjustments to reconcile profit before tax to net cash flows:</t>
  </si>
  <si>
    <t>Add:</t>
  </si>
  <si>
    <t xml:space="preserve"> Depreciation and amortisation</t>
  </si>
  <si>
    <t xml:space="preserve"> Loss on property, plant and equipment sold, demolished, discarded and scrapped</t>
  </si>
  <si>
    <t xml:space="preserve"> Provision for doubtful debts and advances</t>
  </si>
  <si>
    <t xml:space="preserve"> Share based payment to employees</t>
  </si>
  <si>
    <t>Interest adjustment on Government grant</t>
  </si>
  <si>
    <t>Interest expense</t>
  </si>
  <si>
    <t>Exchange loss/(gain) on cash and cash equivalents</t>
  </si>
  <si>
    <t>Exchange loss/(gain) on trade receivables</t>
  </si>
  <si>
    <t>Exchange loss/(gain) on import payables</t>
  </si>
  <si>
    <t>Less:</t>
  </si>
  <si>
    <t xml:space="preserve"> Investment income included in above:</t>
  </si>
  <si>
    <t>Interest income on fixed income securities</t>
  </si>
  <si>
    <t>Interest income on fixed deposits</t>
  </si>
  <si>
    <t>Interest income on exchange traded funds</t>
  </si>
  <si>
    <t>Interest income on fixed maturity plans</t>
  </si>
  <si>
    <t>Profit on sale of other investments, net</t>
  </si>
  <si>
    <t>Dividend income on other strategic investments</t>
  </si>
  <si>
    <t>Gain on valuation and realisation of mutual funds measured at fair value through profit or loss</t>
  </si>
  <si>
    <t>Amortisation of premium/discount on acquisition of fixed income securities</t>
  </si>
  <si>
    <t>Share of profits of associate</t>
  </si>
  <si>
    <t>Government grants</t>
  </si>
  <si>
    <t>Exceptional item</t>
  </si>
  <si>
    <t>Surplus on sale of property, plant and equipment</t>
  </si>
  <si>
    <t>Change in assets and liabilities</t>
  </si>
  <si>
    <t>(Increase)/decrease in inventories</t>
  </si>
  <si>
    <t>Increase/(decrease) in liabilities and provisions</t>
  </si>
  <si>
    <t>(Increase)/decrease in trade receivables</t>
  </si>
  <si>
    <t>(Increase)/decrease in loans and other assets</t>
  </si>
  <si>
    <t>Net cash flow from operating activities before income tax</t>
  </si>
  <si>
    <t>Income tax paid</t>
  </si>
  <si>
    <t>Annuity payments (net) to VRS/Welfare scheme optees</t>
  </si>
  <si>
    <t>Operating profit before working capital changes</t>
  </si>
  <si>
    <t>Net change in Working capital</t>
  </si>
  <si>
    <t>Net cash flow from/(used in operating activities)</t>
  </si>
  <si>
    <t>Cash flows from investing activities</t>
  </si>
  <si>
    <t>Sale of investments</t>
  </si>
  <si>
    <t>Purchase of investments</t>
  </si>
  <si>
    <t>Sale/(purchase) of liquid mutual funds, etc., net</t>
  </si>
  <si>
    <t>Investment in treasury shares by ESOP trust</t>
  </si>
  <si>
    <t>Purchase of property, plant and equipment (including advances)</t>
  </si>
  <si>
    <t>(Increase)/decrease in other bank balances</t>
  </si>
  <si>
    <t>Sale proceeds of property, plant and equipment</t>
  </si>
  <si>
    <t>Capital expenditure on development of technical know-how</t>
  </si>
  <si>
    <t>Investment income</t>
  </si>
  <si>
    <t>(Increase)/decrease in interest receivable</t>
  </si>
  <si>
    <t>Net cash flow from/(used in) investing activities</t>
  </si>
  <si>
    <t>Deferral of sales tax deferral liability due to assessment</t>
  </si>
  <si>
    <t>Dividend, including interim dividend paid</t>
  </si>
  <si>
    <t>Net cash flow from/(used in) financing activities</t>
  </si>
  <si>
    <t>Change in foreign currency translation arising on consolidation</t>
  </si>
  <si>
    <t>Net change in cash and cash equivalents</t>
  </si>
  <si>
    <t>Cash and cash equivalents at the beginning of the year</t>
  </si>
  <si>
    <t>Add/(Less): Effects of exchange loss/(gain) on cash and cash equivalents</t>
  </si>
  <si>
    <t>Cash and cash equivalents at the end of the year</t>
  </si>
  <si>
    <t>Cash flows from financing activities</t>
  </si>
  <si>
    <t>Assumptions</t>
  </si>
  <si>
    <t>FY20 A</t>
  </si>
  <si>
    <t>Revenue Model</t>
  </si>
  <si>
    <t>BAL's Volume</t>
  </si>
  <si>
    <t>Volume Growth</t>
  </si>
  <si>
    <t>BAL's Volume Growth</t>
  </si>
  <si>
    <t>Industry Volume Growth</t>
  </si>
  <si>
    <t>BAL'S Market Share</t>
  </si>
  <si>
    <t>Domestic Two wheeler Segment</t>
  </si>
  <si>
    <t>Mileage Segment</t>
  </si>
  <si>
    <t>Market Share</t>
  </si>
  <si>
    <t>Sports Segment</t>
  </si>
  <si>
    <t>BAL</t>
  </si>
  <si>
    <t>Three Wheeler</t>
  </si>
  <si>
    <t>Passenger carriers</t>
  </si>
  <si>
    <t>Industry sales</t>
  </si>
  <si>
    <t>BAL’s sales</t>
  </si>
  <si>
    <t>BAL’s market share</t>
  </si>
  <si>
    <t>Goods carriers</t>
  </si>
  <si>
    <t>Total three-wheelers</t>
  </si>
  <si>
    <t>International Sales</t>
  </si>
  <si>
    <t>Motorcycles</t>
  </si>
  <si>
    <t>Commercial Vehicles</t>
  </si>
  <si>
    <t>Total numbers</t>
  </si>
  <si>
    <t>Exports in Rs (crore)</t>
  </si>
  <si>
    <t>Ratio Analysis</t>
  </si>
  <si>
    <t>EBITDA Margin</t>
  </si>
  <si>
    <t>EBIT Margin</t>
  </si>
  <si>
    <t>Net Profit Margin</t>
  </si>
  <si>
    <t>Inventory Turnover ratio</t>
  </si>
  <si>
    <t>Receivable Turnover ratio</t>
  </si>
  <si>
    <t>Payable Turnover ratio</t>
  </si>
  <si>
    <t>Domestic sales unit</t>
  </si>
  <si>
    <t>FY23 (TTM)</t>
  </si>
  <si>
    <t>Corporate dividend tax paid</t>
  </si>
  <si>
    <t>Gross Profit</t>
  </si>
  <si>
    <t>Gross Profit Margin</t>
  </si>
  <si>
    <t>Domestic Revenue</t>
  </si>
  <si>
    <t>Total Volume</t>
  </si>
  <si>
    <t>Average Price realization</t>
  </si>
  <si>
    <t>YoY Growth</t>
  </si>
  <si>
    <t>YOY Growth</t>
  </si>
  <si>
    <t>Domestic sales volume YOY%</t>
  </si>
  <si>
    <t>International sales volume YOY%</t>
  </si>
  <si>
    <t>Growth in Average Price realization - Domestic</t>
  </si>
  <si>
    <t>Growth in Average Price realization - International</t>
  </si>
  <si>
    <t>FY28 E</t>
  </si>
  <si>
    <t>Operating Income</t>
  </si>
  <si>
    <t>Cost of Goods Sold (COGS)</t>
  </si>
  <si>
    <t>Earnings Before Interest and Tax</t>
  </si>
  <si>
    <t>Cost of Goods sold</t>
  </si>
  <si>
    <t>Other Expenses</t>
  </si>
  <si>
    <t>Other Income</t>
  </si>
  <si>
    <t>FY28E</t>
  </si>
  <si>
    <t>Effective tax rate</t>
  </si>
  <si>
    <t>Capex Schedule</t>
  </si>
  <si>
    <t>Total Revenue Volume</t>
  </si>
  <si>
    <t>Total Installed Capacity per annum (in units crores)</t>
  </si>
  <si>
    <t>Opening Gross Block</t>
  </si>
  <si>
    <t>Accumulated Depriciation</t>
  </si>
  <si>
    <t>Opening Balance</t>
  </si>
  <si>
    <t>Closing Balance</t>
  </si>
  <si>
    <t>Net Block</t>
  </si>
  <si>
    <t>Closing Gross Block</t>
  </si>
  <si>
    <t>Deductions</t>
  </si>
  <si>
    <t>Deductions/adjustments</t>
  </si>
  <si>
    <t>CAPEX</t>
  </si>
  <si>
    <t>Current Year Depriciation</t>
  </si>
  <si>
    <t>Depreciation</t>
  </si>
  <si>
    <t>Capital Work in Progress</t>
  </si>
  <si>
    <t xml:space="preserve">Intangible assets </t>
  </si>
  <si>
    <t>Income Statement Assumptions</t>
  </si>
  <si>
    <t>Balance Sheet Assumptions</t>
  </si>
  <si>
    <t>Profitability Ratio</t>
  </si>
  <si>
    <t>Return on Capital Employed</t>
  </si>
  <si>
    <t>Return on Invested Capital</t>
  </si>
  <si>
    <t>Return on Equity (ROE)</t>
  </si>
  <si>
    <t>Total Asset Turover Ratio</t>
  </si>
  <si>
    <t>Financial Leverage Ratio</t>
  </si>
  <si>
    <t xml:space="preserve">Check </t>
  </si>
  <si>
    <t>Efficiency Ratios</t>
  </si>
  <si>
    <t xml:space="preserve">Number of Days in Inventory </t>
  </si>
  <si>
    <t>Number of days in Receivables</t>
  </si>
  <si>
    <t>Number of days of Payables</t>
  </si>
  <si>
    <t>Cash Conversion Cycle</t>
  </si>
  <si>
    <t>Dividend Payout Ratio</t>
  </si>
  <si>
    <t>Finance cost</t>
  </si>
  <si>
    <t>Capacity Utilization</t>
  </si>
  <si>
    <t>Investment in subsidiaries</t>
  </si>
  <si>
    <t>Bajaj Auto International Holding B V Amsterdam, Netherlands</t>
  </si>
  <si>
    <t>PT Bajaj Auto Indonesia</t>
  </si>
  <si>
    <t>Bajaj Auto Consumer Finance Ltd</t>
  </si>
  <si>
    <t>Bajaj Auto Spain S.L.</t>
  </si>
  <si>
    <t>Less: Provision for diminution in the value of Investment</t>
  </si>
  <si>
    <t>Investment carried at Fair Value through OCI</t>
  </si>
  <si>
    <t>Other Investments</t>
  </si>
  <si>
    <t>In Equities:</t>
  </si>
  <si>
    <t>Bajaj Holdings &amp; Investments Ltd.</t>
  </si>
  <si>
    <t>Yulu Bikes Private Ltd.</t>
  </si>
  <si>
    <t>Compulsorily Convertible Preference Shares</t>
  </si>
  <si>
    <t>Investment carried at amortised cost</t>
  </si>
  <si>
    <t>In Bonds and debentures:</t>
  </si>
  <si>
    <t>In Government Bonds and securities</t>
  </si>
  <si>
    <t>In Fixed Deposits:</t>
  </si>
  <si>
    <t>In Fixed maturity plans</t>
  </si>
  <si>
    <t>In Exchange Traded Funds</t>
  </si>
  <si>
    <t>Investment carried at fair value through profit or loss</t>
  </si>
  <si>
    <t>In Short-term mutual funds</t>
  </si>
  <si>
    <t>In Long duration bond funds</t>
  </si>
  <si>
    <t>In Liquid and overnight mutual funds</t>
  </si>
  <si>
    <t>Current</t>
  </si>
  <si>
    <t>Percentage of ownership</t>
  </si>
  <si>
    <t>Number of Share</t>
  </si>
  <si>
    <t>Equity value</t>
  </si>
  <si>
    <t>Non Current</t>
  </si>
  <si>
    <t>Working Capital turnover ratio</t>
  </si>
  <si>
    <t>Working Capital days</t>
  </si>
  <si>
    <t>Valuation</t>
  </si>
  <si>
    <t>Scenario Analysis</t>
  </si>
  <si>
    <t xml:space="preserve">Discounted Cash Flow valuation </t>
  </si>
  <si>
    <t xml:space="preserve">Assumptions: </t>
  </si>
  <si>
    <t>Risk Free Rate</t>
  </si>
  <si>
    <t>Beta</t>
  </si>
  <si>
    <t>Cost of Equity/CAPM</t>
  </si>
  <si>
    <t>Cost of Debt</t>
  </si>
  <si>
    <t>Tax Rate</t>
  </si>
  <si>
    <t>Target Debt: Capital Ratio</t>
  </si>
  <si>
    <t>Terminal Growth Rate</t>
  </si>
  <si>
    <t>WACC</t>
  </si>
  <si>
    <t>Equity risk premium</t>
  </si>
  <si>
    <t>Free cash flow to firm (FCFF)</t>
  </si>
  <si>
    <t>EBIT</t>
  </si>
  <si>
    <t>Tax rate</t>
  </si>
  <si>
    <t>EBIT * (1-Tax rate)</t>
  </si>
  <si>
    <t>Add : Depreciation</t>
  </si>
  <si>
    <t>Less : Increase in working capital</t>
  </si>
  <si>
    <t>Less : Increase in CAPEX &amp; WIP</t>
  </si>
  <si>
    <t xml:space="preserve">Free Cashflow to Firm </t>
  </si>
  <si>
    <t>Domestic sales</t>
  </si>
  <si>
    <t>Chosen Scenario</t>
  </si>
  <si>
    <t>Best case</t>
  </si>
  <si>
    <t>Base Case</t>
  </si>
  <si>
    <t>Worst Case</t>
  </si>
  <si>
    <t>Key assumptions</t>
  </si>
  <si>
    <t xml:space="preserve">YoY Growth in Domestic market </t>
  </si>
  <si>
    <t xml:space="preserve">YoY Growth in International market </t>
  </si>
  <si>
    <t>YoY Growth in Average Price realization (Domestic)</t>
  </si>
  <si>
    <t>YoY Growth in Average Price realization (International)</t>
  </si>
  <si>
    <t>Terminal PE Multiple</t>
  </si>
  <si>
    <t>Terminal Growth value</t>
  </si>
  <si>
    <t>No of years</t>
  </si>
  <si>
    <t>Discount Factor</t>
  </si>
  <si>
    <t>PV of FCFF</t>
  </si>
  <si>
    <t>PV of Terminal Growth value</t>
  </si>
  <si>
    <t>Enterprise Value</t>
  </si>
  <si>
    <t>Less : Total Debt</t>
  </si>
  <si>
    <t>Add : Cash</t>
  </si>
  <si>
    <t xml:space="preserve">Equity Value </t>
  </si>
  <si>
    <t>Share Capital</t>
  </si>
  <si>
    <t>No of Shares</t>
  </si>
  <si>
    <t>Share Price</t>
  </si>
  <si>
    <t>TVS</t>
  </si>
  <si>
    <t>Eicher Motor</t>
  </si>
  <si>
    <t>P/E</t>
  </si>
  <si>
    <t>EV/EBIT</t>
  </si>
  <si>
    <t>EV/EBITDA</t>
  </si>
  <si>
    <t>EV/Revenue</t>
  </si>
  <si>
    <t>EBITDA</t>
  </si>
  <si>
    <t>Revenue</t>
  </si>
  <si>
    <t>Present Date</t>
  </si>
  <si>
    <t>TTM</t>
  </si>
  <si>
    <t>Debt</t>
  </si>
  <si>
    <t>ROE</t>
  </si>
  <si>
    <t>Net Profit</t>
  </si>
  <si>
    <t>Hero Moto</t>
  </si>
  <si>
    <t>Fig in Crores</t>
  </si>
  <si>
    <t>Cash equivalent</t>
  </si>
  <si>
    <t>EV</t>
  </si>
  <si>
    <t>Mcap</t>
  </si>
  <si>
    <t>Volume Growth(YTD)</t>
  </si>
  <si>
    <t>Current Ratio</t>
  </si>
  <si>
    <t>Quick Ratio</t>
  </si>
  <si>
    <t>Cash Ratio</t>
  </si>
  <si>
    <t>Total Assets Turnover</t>
  </si>
  <si>
    <t>Fixed Asset Turnover Ratio</t>
  </si>
  <si>
    <t>Return on assets</t>
  </si>
  <si>
    <t>Interest coverage ratio</t>
  </si>
  <si>
    <t>Retention rate</t>
  </si>
  <si>
    <t>Sustainable growth rate</t>
  </si>
  <si>
    <t>Liquidty Ratio</t>
  </si>
  <si>
    <t>Solvency ratio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</si>
</sst>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#,##0.0000000000000000000000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8"/>
      <color rgb="FF00000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5">
    <xf numFmtId="0" fontId="0" fillId="0" borderId="0" xfId="0"/>
    <xf numFmtId="10" fontId="0" fillId="0" borderId="0" xfId="0" applyNumberFormat="1"/>
    <xf numFmtId="3" fontId="0" fillId="0" borderId="0" xfId="0" applyNumberFormat="1"/>
    <xf numFmtId="10" fontId="0" fillId="0" borderId="0" xfId="1" applyNumberFormat="1" applyFont="1"/>
    <xf numFmtId="9" fontId="0" fillId="0" borderId="0" xfId="0" applyNumberFormat="1"/>
    <xf numFmtId="0" fontId="3" fillId="0" borderId="0" xfId="0" applyFont="1"/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4" fontId="0" fillId="0" borderId="0" xfId="0" applyNumberFormat="1"/>
    <xf numFmtId="164" fontId="0" fillId="0" borderId="0" xfId="0" applyNumberFormat="1"/>
    <xf numFmtId="4" fontId="2" fillId="0" borderId="0" xfId="0" applyNumberFormat="1" applyFont="1"/>
    <xf numFmtId="2" fontId="0" fillId="0" borderId="0" xfId="0" applyNumberFormat="1"/>
    <xf numFmtId="1" fontId="0" fillId="0" borderId="0" xfId="0" applyNumberFormat="1"/>
    <xf numFmtId="14" fontId="0" fillId="0" borderId="0" xfId="0" applyNumberFormat="1"/>
    <xf numFmtId="3" fontId="2" fillId="0" borderId="0" xfId="0" applyNumberFormat="1" applyFont="1" applyAlignment="1">
      <alignment horizontal="center"/>
    </xf>
    <xf numFmtId="10" fontId="2" fillId="0" borderId="0" xfId="0" applyNumberFormat="1" applyFont="1" applyAlignment="1">
      <alignment horizontal="center"/>
    </xf>
    <xf numFmtId="3" fontId="2" fillId="0" borderId="0" xfId="0" applyNumberFormat="1" applyFont="1"/>
    <xf numFmtId="10" fontId="2" fillId="0" borderId="0" xfId="0" applyNumberFormat="1" applyFont="1"/>
    <xf numFmtId="0" fontId="0" fillId="0" borderId="1" xfId="0" applyBorder="1"/>
    <xf numFmtId="0" fontId="2" fillId="0" borderId="1" xfId="0" applyFont="1" applyBorder="1"/>
    <xf numFmtId="2" fontId="2" fillId="0" borderId="0" xfId="0" applyNumberFormat="1" applyFont="1"/>
    <xf numFmtId="4" fontId="0" fillId="0" borderId="0" xfId="0" quotePrefix="1" applyNumberFormat="1"/>
    <xf numFmtId="0" fontId="0" fillId="0" borderId="2" xfId="0" applyBorder="1"/>
    <xf numFmtId="9" fontId="0" fillId="0" borderId="2" xfId="0" applyNumberFormat="1" applyBorder="1"/>
    <xf numFmtId="9" fontId="0" fillId="0" borderId="2" xfId="1" applyFont="1" applyBorder="1"/>
    <xf numFmtId="0" fontId="0" fillId="0" borderId="3" xfId="0" applyBorder="1"/>
    <xf numFmtId="9" fontId="0" fillId="0" borderId="3" xfId="0" applyNumberFormat="1" applyBorder="1"/>
    <xf numFmtId="0" fontId="2" fillId="0" borderId="2" xfId="0" applyFont="1" applyBorder="1"/>
    <xf numFmtId="10" fontId="2" fillId="0" borderId="2" xfId="0" applyNumberFormat="1" applyFont="1" applyBorder="1"/>
    <xf numFmtId="0" fontId="2" fillId="0" borderId="0" xfId="0" applyFont="1" applyAlignment="1">
      <alignment horizontal="right"/>
    </xf>
    <xf numFmtId="10" fontId="2" fillId="0" borderId="0" xfId="0" applyNumberFormat="1" applyFont="1" applyAlignment="1">
      <alignment horizontal="right"/>
    </xf>
    <xf numFmtId="10" fontId="0" fillId="0" borderId="0" xfId="0" applyNumberFormat="1" applyAlignment="1">
      <alignment horizontal="right"/>
    </xf>
    <xf numFmtId="10" fontId="0" fillId="0" borderId="0" xfId="0" applyNumberFormat="1" applyAlignment="1">
      <alignment horizontal="center"/>
    </xf>
    <xf numFmtId="10" fontId="1" fillId="0" borderId="0" xfId="1" applyNumberFormat="1" applyFont="1"/>
    <xf numFmtId="0" fontId="0" fillId="0" borderId="0" xfId="0" applyAlignment="1">
      <alignment horizontal="center"/>
    </xf>
    <xf numFmtId="3" fontId="2" fillId="0" borderId="0" xfId="0" applyNumberFormat="1" applyFont="1" applyAlignment="1">
      <alignment horizontal="right"/>
    </xf>
    <xf numFmtId="9" fontId="0" fillId="0" borderId="0" xfId="1" applyFont="1"/>
    <xf numFmtId="165" fontId="0" fillId="0" borderId="0" xfId="0" applyNumberFormat="1"/>
    <xf numFmtId="2" fontId="2" fillId="0" borderId="2" xfId="0" applyNumberFormat="1" applyFont="1" applyBorder="1"/>
    <xf numFmtId="2" fontId="0" fillId="0" borderId="2" xfId="0" applyNumberFormat="1" applyBorder="1"/>
    <xf numFmtId="0" fontId="2" fillId="3" borderId="2" xfId="0" applyFont="1" applyFill="1" applyBorder="1"/>
    <xf numFmtId="2" fontId="2" fillId="3" borderId="2" xfId="0" applyNumberFormat="1" applyFont="1" applyFill="1" applyBorder="1"/>
    <xf numFmtId="4" fontId="0" fillId="0" borderId="2" xfId="0" applyNumberFormat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" fontId="0" fillId="0" borderId="9" xfId="0" applyNumberFormat="1" applyBorder="1"/>
    <xf numFmtId="4" fontId="0" fillId="0" borderId="10" xfId="0" applyNumberFormat="1" applyBorder="1"/>
    <xf numFmtId="0" fontId="0" fillId="0" borderId="9" xfId="0" applyBorder="1"/>
    <xf numFmtId="3" fontId="0" fillId="0" borderId="10" xfId="0" applyNumberFormat="1" applyBorder="1"/>
    <xf numFmtId="0" fontId="0" fillId="0" borderId="10" xfId="0" applyBorder="1"/>
    <xf numFmtId="3" fontId="0" fillId="0" borderId="9" xfId="0" applyNumberFormat="1" applyBorder="1"/>
    <xf numFmtId="9" fontId="0" fillId="0" borderId="9" xfId="0" applyNumberFormat="1" applyBorder="1"/>
    <xf numFmtId="9" fontId="0" fillId="0" borderId="10" xfId="0" applyNumberFormat="1" applyBorder="1"/>
    <xf numFmtId="2" fontId="0" fillId="0" borderId="10" xfId="0" applyNumberFormat="1" applyBorder="1"/>
    <xf numFmtId="0" fontId="0" fillId="0" borderId="11" xfId="0" applyBorder="1"/>
    <xf numFmtId="0" fontId="0" fillId="0" borderId="12" xfId="0" applyBorder="1"/>
    <xf numFmtId="2" fontId="0" fillId="0" borderId="9" xfId="0" applyNumberFormat="1" applyBorder="1"/>
    <xf numFmtId="4" fontId="2" fillId="0" borderId="9" xfId="0" applyNumberFormat="1" applyFont="1" applyBorder="1"/>
    <xf numFmtId="10" fontId="0" fillId="0" borderId="12" xfId="1" applyNumberFormat="1" applyFont="1" applyBorder="1"/>
    <xf numFmtId="3" fontId="7" fillId="0" borderId="9" xfId="0" applyNumberFormat="1" applyFont="1" applyBorder="1"/>
    <xf numFmtId="3" fontId="7" fillId="0" borderId="10" xfId="0" applyNumberFormat="1" applyFont="1" applyBorder="1"/>
    <xf numFmtId="9" fontId="0" fillId="0" borderId="9" xfId="1" applyFont="1" applyBorder="1"/>
    <xf numFmtId="9" fontId="0" fillId="0" borderId="10" xfId="1" applyFont="1" applyBorder="1"/>
    <xf numFmtId="9" fontId="0" fillId="0" borderId="0" xfId="1" applyFont="1" applyBorder="1"/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13" xfId="0" applyBorder="1"/>
    <xf numFmtId="9" fontId="2" fillId="0" borderId="2" xfId="1" applyFont="1" applyBorder="1"/>
    <xf numFmtId="0" fontId="2" fillId="0" borderId="6" xfId="0" applyFont="1" applyBorder="1"/>
    <xf numFmtId="0" fontId="2" fillId="0" borderId="4" xfId="0" applyFont="1" applyBorder="1"/>
    <xf numFmtId="0" fontId="0" fillId="4" borderId="11" xfId="0" applyFill="1" applyBorder="1"/>
    <xf numFmtId="0" fontId="0" fillId="4" borderId="7" xfId="0" applyFill="1" applyBorder="1"/>
    <xf numFmtId="0" fontId="0" fillId="4" borderId="1" xfId="0" applyFill="1" applyBorder="1"/>
    <xf numFmtId="0" fontId="0" fillId="4" borderId="8" xfId="0" applyFill="1" applyBorder="1"/>
    <xf numFmtId="0" fontId="2" fillId="4" borderId="13" xfId="0" applyFont="1" applyFill="1" applyBorder="1"/>
    <xf numFmtId="2" fontId="2" fillId="4" borderId="12" xfId="0" applyNumberFormat="1" applyFont="1" applyFill="1" applyBorder="1"/>
    <xf numFmtId="3" fontId="0" fillId="0" borderId="0" xfId="0" applyNumberFormat="1" applyAlignment="1">
      <alignment horizontal="right"/>
    </xf>
    <xf numFmtId="3" fontId="0" fillId="0" borderId="0" xfId="0" applyNumberFormat="1" applyAlignment="1">
      <alignment horizontal="center"/>
    </xf>
    <xf numFmtId="4" fontId="2" fillId="0" borderId="1" xfId="0" applyNumberFormat="1" applyFont="1" applyBorder="1"/>
    <xf numFmtId="4" fontId="0" fillId="0" borderId="1" xfId="0" applyNumberFormat="1" applyBorder="1"/>
    <xf numFmtId="0" fontId="2" fillId="0" borderId="14" xfId="0" applyFont="1" applyBorder="1"/>
    <xf numFmtId="4" fontId="2" fillId="0" borderId="14" xfId="0" applyNumberFormat="1" applyFont="1" applyBorder="1"/>
    <xf numFmtId="9" fontId="0" fillId="0" borderId="1" xfId="0" applyNumberFormat="1" applyBorder="1"/>
    <xf numFmtId="0" fontId="2" fillId="2" borderId="2" xfId="0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0" xfId="0" applyFill="1"/>
    <xf numFmtId="0" fontId="2" fillId="0" borderId="5" xfId="0" applyFont="1" applyBorder="1"/>
    <xf numFmtId="3" fontId="2" fillId="0" borderId="5" xfId="0" applyNumberFormat="1" applyFont="1" applyBorder="1" applyAlignment="1">
      <alignment horizontal="center"/>
    </xf>
    <xf numFmtId="3" fontId="2" fillId="0" borderId="6" xfId="0" applyNumberFormat="1" applyFont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0485DE-6594-46B7-8237-2E61A98EA79C}">
  <dimension ref="A1:M22"/>
  <sheetViews>
    <sheetView showGridLines="0" tabSelected="1" workbookViewId="0">
      <selection activeCell="P6" sqref="P6"/>
    </sheetView>
  </sheetViews>
  <sheetFormatPr defaultRowHeight="15" x14ac:dyDescent="0.25"/>
  <cols>
    <col min="1" max="1" width="3.140625" customWidth="1"/>
    <col min="2" max="2" width="3.5703125" customWidth="1"/>
    <col min="3" max="3" width="27.7109375" customWidth="1"/>
    <col min="4" max="4" width="11.140625" bestFit="1" customWidth="1"/>
    <col min="5" max="5" width="9.140625" bestFit="1" customWidth="1"/>
    <col min="6" max="6" width="2" customWidth="1"/>
    <col min="7" max="7" width="2.7109375" customWidth="1"/>
    <col min="8" max="8" width="29" customWidth="1"/>
    <col min="9" max="12" width="10" bestFit="1" customWidth="1"/>
    <col min="13" max="13" width="12" bestFit="1" customWidth="1"/>
  </cols>
  <sheetData>
    <row r="1" spans="1:13" ht="18.75" x14ac:dyDescent="0.3">
      <c r="A1" s="5" t="s">
        <v>261</v>
      </c>
    </row>
    <row r="2" spans="1:13" x14ac:dyDescent="0.25">
      <c r="A2" s="6"/>
      <c r="I2" s="86" t="s">
        <v>272</v>
      </c>
      <c r="J2" s="86"/>
      <c r="K2" s="86"/>
      <c r="L2" s="86"/>
      <c r="M2" s="86"/>
    </row>
    <row r="3" spans="1:13" x14ac:dyDescent="0.25">
      <c r="A3" s="7"/>
      <c r="C3" s="7"/>
      <c r="E3" s="8"/>
      <c r="F3" s="8"/>
      <c r="G3" s="8"/>
      <c r="H3" s="8"/>
      <c r="I3" s="8" t="s">
        <v>13</v>
      </c>
      <c r="J3" s="8" t="s">
        <v>12</v>
      </c>
      <c r="K3" s="8" t="s">
        <v>11</v>
      </c>
      <c r="L3" s="8" t="s">
        <v>10</v>
      </c>
      <c r="M3" s="8" t="s">
        <v>195</v>
      </c>
    </row>
    <row r="4" spans="1:13" x14ac:dyDescent="0.25">
      <c r="B4" s="7" t="s">
        <v>262</v>
      </c>
      <c r="H4" s="23" t="s">
        <v>273</v>
      </c>
      <c r="I4" s="43">
        <f>'Income Statement'!I14</f>
        <v>7096.0369751845255</v>
      </c>
      <c r="J4" s="43">
        <f>'Income Statement'!J14</f>
        <v>9845.2533787887696</v>
      </c>
      <c r="K4" s="43">
        <f>'Income Statement'!K14</f>
        <v>11169.976106142985</v>
      </c>
      <c r="L4" s="43">
        <f>'Income Statement'!L14</f>
        <v>12502.920524251937</v>
      </c>
      <c r="M4" s="43">
        <f>'Income Statement'!M14</f>
        <v>13960.013338964329</v>
      </c>
    </row>
    <row r="5" spans="1:13" x14ac:dyDescent="0.25">
      <c r="C5" s="23" t="s">
        <v>263</v>
      </c>
      <c r="D5" s="24">
        <v>7.3539999999999994E-2</v>
      </c>
      <c r="H5" s="23" t="s">
        <v>274</v>
      </c>
      <c r="I5" s="25">
        <v>0.25</v>
      </c>
      <c r="J5" s="25">
        <v>0.25</v>
      </c>
      <c r="K5" s="25">
        <v>0.25</v>
      </c>
      <c r="L5" s="25">
        <v>0.25</v>
      </c>
      <c r="M5" s="25">
        <v>0.25</v>
      </c>
    </row>
    <row r="6" spans="1:13" x14ac:dyDescent="0.25">
      <c r="C6" s="23" t="s">
        <v>264</v>
      </c>
      <c r="D6" s="23">
        <v>0.85</v>
      </c>
      <c r="H6" s="23" t="s">
        <v>275</v>
      </c>
      <c r="I6" s="40">
        <f>I4*(1-I5)</f>
        <v>5322.0277313883944</v>
      </c>
      <c r="J6" s="40">
        <f t="shared" ref="J6:M6" si="0">J4*(1-J5)</f>
        <v>7383.9400340915772</v>
      </c>
      <c r="K6" s="40">
        <f t="shared" si="0"/>
        <v>8377.4820796072381</v>
      </c>
      <c r="L6" s="40">
        <f t="shared" si="0"/>
        <v>9377.1903931889519</v>
      </c>
      <c r="M6" s="40">
        <f t="shared" si="0"/>
        <v>10470.010004223246</v>
      </c>
    </row>
    <row r="7" spans="1:13" x14ac:dyDescent="0.25">
      <c r="C7" s="23" t="s">
        <v>271</v>
      </c>
      <c r="D7" s="24">
        <v>9.7299999999999998E-2</v>
      </c>
      <c r="E7" s="4"/>
      <c r="H7" s="23" t="s">
        <v>276</v>
      </c>
      <c r="I7" s="40">
        <f>'Income Statement'!I13</f>
        <v>287.79840000000002</v>
      </c>
      <c r="J7" s="40">
        <f>'Income Statement'!J13</f>
        <v>308.79840000000002</v>
      </c>
      <c r="K7" s="40">
        <f>'Income Statement'!K13</f>
        <v>329.79840000000002</v>
      </c>
      <c r="L7" s="40">
        <f>'Income Statement'!L13</f>
        <v>353.79840000000002</v>
      </c>
      <c r="M7" s="40">
        <f>'Income Statement'!M13</f>
        <v>379.29840000000002</v>
      </c>
    </row>
    <row r="8" spans="1:13" x14ac:dyDescent="0.25">
      <c r="C8" s="23" t="s">
        <v>265</v>
      </c>
      <c r="D8" s="25">
        <f>D5+D6*(D7)</f>
        <v>0.15624499999999999</v>
      </c>
      <c r="H8" s="23" t="s">
        <v>277</v>
      </c>
      <c r="I8" s="43">
        <f>'CashFlow Statement'!I40</f>
        <v>-614.53780243014057</v>
      </c>
      <c r="J8" s="43">
        <f>'CashFlow Statement'!J40</f>
        <v>-88.334054524328849</v>
      </c>
      <c r="K8" s="43">
        <f>'CashFlow Statement'!K40</f>
        <v>301.58465035196423</v>
      </c>
      <c r="L8" s="43">
        <f>'CashFlow Statement'!L40</f>
        <v>-127.20555655137832</v>
      </c>
      <c r="M8" s="43">
        <f>'CashFlow Statement'!M40</f>
        <v>111.6260442226735</v>
      </c>
    </row>
    <row r="9" spans="1:13" x14ac:dyDescent="0.25">
      <c r="C9" s="23" t="s">
        <v>266</v>
      </c>
      <c r="D9" s="24">
        <v>0.1</v>
      </c>
      <c r="H9" s="23" t="s">
        <v>278</v>
      </c>
      <c r="I9" s="40">
        <f>SUM('CashFlow Statement'!I52:I54)</f>
        <v>-128.45012199999996</v>
      </c>
      <c r="J9" s="40">
        <f>SUM('CashFlow Statement'!J52:J54)</f>
        <v>-351.85407199999997</v>
      </c>
      <c r="K9" s="40">
        <f>SUM('CashFlow Statement'!K52:K54)</f>
        <v>-403.15907199999998</v>
      </c>
      <c r="L9" s="40">
        <f>SUM('CashFlow Statement'!L52:L54)</f>
        <v>-428.204072</v>
      </c>
      <c r="M9" s="40">
        <f>SUM('CashFlow Statement'!M52:M54)</f>
        <v>-505.43157200000002</v>
      </c>
    </row>
    <row r="10" spans="1:13" x14ac:dyDescent="0.25">
      <c r="C10" s="23" t="s">
        <v>267</v>
      </c>
      <c r="D10" s="24">
        <v>0.25</v>
      </c>
      <c r="H10" s="28" t="s">
        <v>279</v>
      </c>
      <c r="I10" s="40">
        <f>SUM(I6:I9)</f>
        <v>4866.8382069582531</v>
      </c>
      <c r="J10" s="40">
        <f t="shared" ref="J10:M10" si="1">SUM(J6:J9)</f>
        <v>7252.5503075672477</v>
      </c>
      <c r="K10" s="40">
        <f t="shared" si="1"/>
        <v>8605.7060579592016</v>
      </c>
      <c r="L10" s="40">
        <f t="shared" si="1"/>
        <v>9175.5791646375728</v>
      </c>
      <c r="M10" s="40">
        <f t="shared" si="1"/>
        <v>10455.50287644592</v>
      </c>
    </row>
    <row r="11" spans="1:13" x14ac:dyDescent="0.25">
      <c r="C11" s="23" t="s">
        <v>268</v>
      </c>
      <c r="D11" s="24">
        <v>0</v>
      </c>
    </row>
    <row r="12" spans="1:13" x14ac:dyDescent="0.25">
      <c r="C12" s="26" t="s">
        <v>269</v>
      </c>
      <c r="D12" s="27">
        <v>0.04</v>
      </c>
      <c r="H12" s="44" t="s">
        <v>291</v>
      </c>
      <c r="I12" s="45"/>
      <c r="J12" s="45"/>
      <c r="K12" s="45"/>
      <c r="L12" s="45"/>
      <c r="M12" s="46">
        <f>'Scenario analysis'!D13*'Income Statement'!M27</f>
        <v>210384.89062101755</v>
      </c>
    </row>
    <row r="13" spans="1:13" x14ac:dyDescent="0.25">
      <c r="C13" s="28" t="s">
        <v>270</v>
      </c>
      <c r="D13" s="29">
        <f>D9*(1-D10)*D11+D8*(1-D11)</f>
        <v>0.15624499999999999</v>
      </c>
    </row>
    <row r="14" spans="1:13" x14ac:dyDescent="0.25">
      <c r="H14" s="28" t="s">
        <v>292</v>
      </c>
      <c r="I14" s="39">
        <v>0.5</v>
      </c>
      <c r="J14" s="39">
        <v>1.5</v>
      </c>
      <c r="K14" s="39">
        <v>2.5</v>
      </c>
      <c r="L14" s="39">
        <v>3.5</v>
      </c>
      <c r="M14" s="39">
        <v>4.5</v>
      </c>
    </row>
    <row r="15" spans="1:13" x14ac:dyDescent="0.25">
      <c r="H15" s="23" t="s">
        <v>293</v>
      </c>
      <c r="I15" s="40">
        <f>1/(1+$D$13)^I14</f>
        <v>0.92998312072704314</v>
      </c>
      <c r="J15" s="40">
        <f t="shared" ref="J15:M15" si="2">1/(1+$D$13)^J14</f>
        <v>0.80431320414535257</v>
      </c>
      <c r="K15" s="40">
        <f t="shared" si="2"/>
        <v>0.69562523872133719</v>
      </c>
      <c r="L15" s="40">
        <f t="shared" si="2"/>
        <v>0.60162442970247421</v>
      </c>
      <c r="M15" s="40">
        <f t="shared" si="2"/>
        <v>0.52032608115276113</v>
      </c>
    </row>
    <row r="16" spans="1:13" x14ac:dyDescent="0.25">
      <c r="C16" s="23" t="s">
        <v>296</v>
      </c>
      <c r="D16" s="23">
        <f>SUM(I16:M17)</f>
        <v>136775.0147817028</v>
      </c>
      <c r="H16" s="23" t="s">
        <v>294</v>
      </c>
      <c r="I16" s="40">
        <f>I15*I10</f>
        <v>4526.0773837806437</v>
      </c>
      <c r="J16" s="40">
        <f t="shared" ref="J16:M16" si="3">J15*J10</f>
        <v>5833.3219761047749</v>
      </c>
      <c r="K16" s="40">
        <f t="shared" si="3"/>
        <v>5986.3463309335275</v>
      </c>
      <c r="L16" s="40">
        <f t="shared" si="3"/>
        <v>5520.2525821149848</v>
      </c>
      <c r="M16" s="40">
        <f t="shared" si="3"/>
        <v>5440.2708381825278</v>
      </c>
    </row>
    <row r="17" spans="3:13" x14ac:dyDescent="0.25">
      <c r="C17" s="23" t="s">
        <v>297</v>
      </c>
      <c r="D17" s="40">
        <v>0</v>
      </c>
      <c r="H17" s="23" t="s">
        <v>295</v>
      </c>
      <c r="I17" s="40"/>
      <c r="J17" s="40"/>
      <c r="K17" s="40"/>
      <c r="L17" s="40"/>
      <c r="M17" s="40">
        <f>M12*M15</f>
        <v>109468.74567058634</v>
      </c>
    </row>
    <row r="18" spans="3:13" x14ac:dyDescent="0.25">
      <c r="C18" s="23" t="s">
        <v>298</v>
      </c>
      <c r="D18" s="40">
        <f>'Balance Sheet'!H26</f>
        <v>1383.65</v>
      </c>
    </row>
    <row r="19" spans="3:13" x14ac:dyDescent="0.25">
      <c r="C19" s="23" t="s">
        <v>299</v>
      </c>
      <c r="D19" s="23">
        <f>SUM(D16:D18)</f>
        <v>138158.6647817028</v>
      </c>
    </row>
    <row r="20" spans="3:13" x14ac:dyDescent="0.25">
      <c r="C20" s="23" t="s">
        <v>300</v>
      </c>
      <c r="D20" s="40">
        <v>289.37</v>
      </c>
    </row>
    <row r="21" spans="3:13" x14ac:dyDescent="0.25">
      <c r="C21" s="23" t="s">
        <v>301</v>
      </c>
      <c r="D21" s="23">
        <v>289367020</v>
      </c>
    </row>
    <row r="22" spans="3:13" x14ac:dyDescent="0.25">
      <c r="C22" s="41" t="s">
        <v>302</v>
      </c>
      <c r="D22" s="42">
        <f>(D19*10^7)/D21</f>
        <v>4774.5131695278478</v>
      </c>
    </row>
  </sheetData>
  <mergeCells count="1">
    <mergeCell ref="I2:M2"/>
  </mergeCells>
  <pageMargins left="0.7" right="0.7" top="0.75" bottom="0.75" header="0.3" footer="0.3"/>
  <pageSetup orientation="portrait" horizontalDpi="1200" verticalDpi="12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DD2943-2B4B-41A5-B7B1-5FB222FF2717}">
  <dimension ref="A1:O24"/>
  <sheetViews>
    <sheetView showGridLines="0" workbookViewId="0">
      <selection activeCell="J1" sqref="J1"/>
    </sheetView>
  </sheetViews>
  <sheetFormatPr defaultRowHeight="15" x14ac:dyDescent="0.25"/>
  <cols>
    <col min="1" max="1" width="3.140625" customWidth="1"/>
    <col min="2" max="2" width="3.5703125" customWidth="1"/>
    <col min="3" max="3" width="18.28515625" customWidth="1"/>
    <col min="4" max="4" width="10" customWidth="1"/>
    <col min="5" max="6" width="9.140625" bestFit="1" customWidth="1"/>
    <col min="7" max="7" width="23.28515625" customWidth="1"/>
    <col min="8" max="8" width="7.5703125" customWidth="1"/>
    <col min="9" max="12" width="10" bestFit="1" customWidth="1"/>
    <col min="13" max="13" width="9.140625" customWidth="1"/>
  </cols>
  <sheetData>
    <row r="1" spans="1:14" ht="18.75" x14ac:dyDescent="0.3">
      <c r="A1" s="5" t="s">
        <v>260</v>
      </c>
    </row>
    <row r="2" spans="1:14" x14ac:dyDescent="0.25">
      <c r="A2" s="6"/>
    </row>
    <row r="3" spans="1:14" x14ac:dyDescent="0.25">
      <c r="A3" s="7"/>
      <c r="C3" s="7"/>
      <c r="E3" s="8"/>
      <c r="F3" s="8"/>
      <c r="G3" s="8"/>
      <c r="H3" s="8"/>
      <c r="I3" s="8" t="s">
        <v>13</v>
      </c>
      <c r="J3" s="8" t="s">
        <v>12</v>
      </c>
      <c r="K3" s="8" t="s">
        <v>11</v>
      </c>
      <c r="L3" s="8" t="s">
        <v>10</v>
      </c>
      <c r="M3" s="8" t="s">
        <v>195</v>
      </c>
    </row>
    <row r="4" spans="1:14" x14ac:dyDescent="0.25">
      <c r="B4" s="74"/>
      <c r="C4" s="75" t="s">
        <v>281</v>
      </c>
      <c r="D4" s="76">
        <v>2</v>
      </c>
      <c r="G4" s="7" t="s">
        <v>285</v>
      </c>
    </row>
    <row r="5" spans="1:14" x14ac:dyDescent="0.25">
      <c r="B5" s="49">
        <v>1</v>
      </c>
      <c r="C5" t="s">
        <v>282</v>
      </c>
      <c r="D5" s="51"/>
      <c r="G5" s="72" t="s">
        <v>286</v>
      </c>
      <c r="H5" s="71"/>
      <c r="I5" s="70">
        <f>CHOOSE($D$4,I6,I7,I8)</f>
        <v>0.1</v>
      </c>
      <c r="J5" s="70">
        <f t="shared" ref="J5:M5" si="0">CHOOSE($D$4,J6,J7,J8)</f>
        <v>0.12</v>
      </c>
      <c r="K5" s="70">
        <f t="shared" si="0"/>
        <v>0.08</v>
      </c>
      <c r="L5" s="70">
        <f t="shared" si="0"/>
        <v>0.06</v>
      </c>
      <c r="M5" s="70">
        <f t="shared" si="0"/>
        <v>0.05</v>
      </c>
    </row>
    <row r="6" spans="1:14" x14ac:dyDescent="0.25">
      <c r="B6" s="49">
        <v>2</v>
      </c>
      <c r="C6" t="s">
        <v>283</v>
      </c>
      <c r="D6" s="51"/>
      <c r="G6" s="44" t="s">
        <v>282</v>
      </c>
      <c r="H6" s="46"/>
      <c r="I6" s="25">
        <v>0.15</v>
      </c>
      <c r="J6" s="25">
        <v>0.12</v>
      </c>
      <c r="K6" s="25">
        <v>0.1</v>
      </c>
      <c r="L6" s="25">
        <v>0.08</v>
      </c>
      <c r="M6" s="25">
        <v>0.06</v>
      </c>
    </row>
    <row r="7" spans="1:14" x14ac:dyDescent="0.25">
      <c r="B7" s="49">
        <v>3</v>
      </c>
      <c r="C7" t="s">
        <v>284</v>
      </c>
      <c r="D7" s="51"/>
      <c r="G7" s="44" t="s">
        <v>283</v>
      </c>
      <c r="H7" s="46"/>
      <c r="I7" s="25">
        <v>0.1</v>
      </c>
      <c r="J7" s="25">
        <v>0.12</v>
      </c>
      <c r="K7" s="25">
        <v>0.08</v>
      </c>
      <c r="L7" s="25">
        <v>0.06</v>
      </c>
      <c r="M7" s="25">
        <v>0.05</v>
      </c>
    </row>
    <row r="8" spans="1:14" x14ac:dyDescent="0.25">
      <c r="B8" s="73"/>
      <c r="C8" s="77" t="s">
        <v>259</v>
      </c>
      <c r="D8" s="78">
        <f>DCF!D22</f>
        <v>4774.5131695278478</v>
      </c>
      <c r="G8" s="44" t="s">
        <v>284</v>
      </c>
      <c r="H8" s="46"/>
      <c r="I8" s="25">
        <v>0.05</v>
      </c>
      <c r="J8" s="25">
        <v>7.0000000000000007E-2</v>
      </c>
      <c r="K8" s="25">
        <v>0.08</v>
      </c>
      <c r="L8" s="25">
        <v>0.06</v>
      </c>
      <c r="M8" s="25">
        <v>0.06</v>
      </c>
    </row>
    <row r="9" spans="1:14" x14ac:dyDescent="0.25">
      <c r="I9" s="37"/>
      <c r="J9" s="37"/>
      <c r="K9" s="37"/>
      <c r="L9" s="37"/>
      <c r="M9" s="37"/>
    </row>
    <row r="10" spans="1:14" x14ac:dyDescent="0.25">
      <c r="G10" s="72" t="s">
        <v>287</v>
      </c>
      <c r="H10" s="71"/>
      <c r="I10" s="70">
        <f>CHOOSE($D$4,I11,I12,I13)</f>
        <v>-0.01</v>
      </c>
      <c r="J10" s="70">
        <f t="shared" ref="J10:M10" si="1">CHOOSE($D$4,J11,J12,J13)</f>
        <v>0.02</v>
      </c>
      <c r="K10" s="70">
        <f t="shared" si="1"/>
        <v>0.05</v>
      </c>
      <c r="L10" s="70">
        <f t="shared" si="1"/>
        <v>0.05</v>
      </c>
      <c r="M10" s="70">
        <f t="shared" si="1"/>
        <v>0.05</v>
      </c>
      <c r="N10" s="9"/>
    </row>
    <row r="11" spans="1:14" x14ac:dyDescent="0.25">
      <c r="C11" s="28" t="s">
        <v>290</v>
      </c>
      <c r="D11" s="23"/>
      <c r="G11" s="44" t="s">
        <v>282</v>
      </c>
      <c r="H11" s="46"/>
      <c r="I11" s="25">
        <v>0.03</v>
      </c>
      <c r="J11" s="25">
        <v>0.05</v>
      </c>
      <c r="K11" s="25">
        <v>0.05</v>
      </c>
      <c r="L11" s="25">
        <v>0.05</v>
      </c>
      <c r="M11" s="25">
        <v>0.05</v>
      </c>
      <c r="N11" s="9"/>
    </row>
    <row r="12" spans="1:14" x14ac:dyDescent="0.25">
      <c r="C12" s="23" t="s">
        <v>282</v>
      </c>
      <c r="D12" s="23">
        <v>20</v>
      </c>
      <c r="G12" s="44" t="s">
        <v>283</v>
      </c>
      <c r="H12" s="46"/>
      <c r="I12" s="25">
        <v>-0.01</v>
      </c>
      <c r="J12" s="25">
        <v>0.02</v>
      </c>
      <c r="K12" s="25">
        <v>0.05</v>
      </c>
      <c r="L12" s="25">
        <v>0.05</v>
      </c>
      <c r="M12" s="25">
        <v>0.05</v>
      </c>
    </row>
    <row r="13" spans="1:14" x14ac:dyDescent="0.25">
      <c r="C13" s="23" t="s">
        <v>283</v>
      </c>
      <c r="D13" s="23">
        <v>17</v>
      </c>
      <c r="G13" s="44" t="s">
        <v>284</v>
      </c>
      <c r="H13" s="46"/>
      <c r="I13" s="25">
        <v>-0.05</v>
      </c>
      <c r="J13" s="25">
        <v>-0.02</v>
      </c>
      <c r="K13" s="25">
        <v>0</v>
      </c>
      <c r="L13" s="25">
        <v>0.03</v>
      </c>
      <c r="M13" s="25">
        <v>0.05</v>
      </c>
      <c r="N13" s="9"/>
    </row>
    <row r="14" spans="1:14" x14ac:dyDescent="0.25">
      <c r="C14" s="23" t="s">
        <v>284</v>
      </c>
      <c r="D14" s="23">
        <v>15</v>
      </c>
      <c r="I14" s="37"/>
      <c r="J14" s="37"/>
      <c r="K14" s="37"/>
      <c r="L14" s="37"/>
      <c r="M14" s="37"/>
      <c r="N14" s="9"/>
    </row>
    <row r="15" spans="1:14" x14ac:dyDescent="0.25">
      <c r="G15" s="72" t="s">
        <v>288</v>
      </c>
      <c r="H15" s="71"/>
      <c r="I15" s="70">
        <f>CHOOSE($D$4,I16,I17,I18)</f>
        <v>0.1</v>
      </c>
      <c r="J15" s="70">
        <f t="shared" ref="J15:M15" si="2">CHOOSE($D$4,J16,J17,J18)</f>
        <v>0.08</v>
      </c>
      <c r="K15" s="70">
        <f t="shared" si="2"/>
        <v>0.06</v>
      </c>
      <c r="L15" s="70">
        <f t="shared" si="2"/>
        <v>0.06</v>
      </c>
      <c r="M15" s="70">
        <f t="shared" si="2"/>
        <v>0.06</v>
      </c>
    </row>
    <row r="16" spans="1:14" x14ac:dyDescent="0.25">
      <c r="G16" s="44" t="s">
        <v>282</v>
      </c>
      <c r="H16" s="46"/>
      <c r="I16" s="25">
        <v>0.12</v>
      </c>
      <c r="J16" s="25">
        <v>0.1</v>
      </c>
      <c r="K16" s="25">
        <v>0.08</v>
      </c>
      <c r="L16" s="25">
        <v>0.08</v>
      </c>
      <c r="M16" s="25">
        <v>0.06</v>
      </c>
    </row>
    <row r="17" spans="7:15" x14ac:dyDescent="0.25">
      <c r="G17" s="44" t="s">
        <v>283</v>
      </c>
      <c r="H17" s="46"/>
      <c r="I17" s="25">
        <v>0.1</v>
      </c>
      <c r="J17" s="25">
        <v>0.08</v>
      </c>
      <c r="K17" s="25">
        <v>0.06</v>
      </c>
      <c r="L17" s="25">
        <v>0.06</v>
      </c>
      <c r="M17" s="25">
        <v>0.06</v>
      </c>
      <c r="N17" s="9"/>
      <c r="O17" s="22"/>
    </row>
    <row r="18" spans="7:15" x14ac:dyDescent="0.25">
      <c r="G18" s="44" t="s">
        <v>284</v>
      </c>
      <c r="H18" s="46"/>
      <c r="I18" s="25">
        <v>7.0000000000000007E-2</v>
      </c>
      <c r="J18" s="25">
        <v>0.06</v>
      </c>
      <c r="K18" s="25">
        <v>0.05</v>
      </c>
      <c r="L18" s="25">
        <v>0.05</v>
      </c>
      <c r="M18" s="25">
        <v>0.05</v>
      </c>
      <c r="N18" s="9"/>
    </row>
    <row r="19" spans="7:15" x14ac:dyDescent="0.25">
      <c r="I19" s="37"/>
      <c r="J19" s="37"/>
      <c r="K19" s="37"/>
      <c r="L19" s="37"/>
      <c r="M19" s="37"/>
      <c r="N19" s="9"/>
    </row>
    <row r="20" spans="7:15" x14ac:dyDescent="0.25">
      <c r="G20" s="72" t="s">
        <v>289</v>
      </c>
      <c r="H20" s="71"/>
      <c r="I20" s="70">
        <f>CHOOSE($D$4,I21,I22,I23)</f>
        <v>0.08</v>
      </c>
      <c r="J20" s="70">
        <f t="shared" ref="J20:M20" si="3">CHOOSE($D$4,J21,J22,J23)</f>
        <v>7.0000000000000007E-2</v>
      </c>
      <c r="K20" s="70">
        <f t="shared" si="3"/>
        <v>6.5000000000000002E-2</v>
      </c>
      <c r="L20" s="70">
        <f t="shared" si="3"/>
        <v>0.06</v>
      </c>
      <c r="M20" s="70">
        <f t="shared" si="3"/>
        <v>0.06</v>
      </c>
    </row>
    <row r="21" spans="7:15" x14ac:dyDescent="0.25">
      <c r="G21" s="44" t="s">
        <v>282</v>
      </c>
      <c r="H21" s="46"/>
      <c r="I21" s="25">
        <v>0.1</v>
      </c>
      <c r="J21" s="25">
        <v>0.09</v>
      </c>
      <c r="K21" s="25">
        <v>0.08</v>
      </c>
      <c r="L21" s="25">
        <v>7.0000000000000007E-2</v>
      </c>
      <c r="M21" s="25">
        <v>0.06</v>
      </c>
      <c r="N21" s="9"/>
    </row>
    <row r="22" spans="7:15" x14ac:dyDescent="0.25">
      <c r="G22" s="44" t="s">
        <v>283</v>
      </c>
      <c r="H22" s="46"/>
      <c r="I22" s="25">
        <v>0.08</v>
      </c>
      <c r="J22" s="25">
        <v>7.0000000000000007E-2</v>
      </c>
      <c r="K22" s="25">
        <v>6.5000000000000002E-2</v>
      </c>
      <c r="L22" s="25">
        <v>0.06</v>
      </c>
      <c r="M22" s="25">
        <v>0.06</v>
      </c>
    </row>
    <row r="23" spans="7:15" x14ac:dyDescent="0.25">
      <c r="G23" s="44" t="s">
        <v>284</v>
      </c>
      <c r="H23" s="46"/>
      <c r="I23" s="25">
        <v>0.03</v>
      </c>
      <c r="J23" s="25">
        <v>0.05</v>
      </c>
      <c r="K23" s="25">
        <v>0.05</v>
      </c>
      <c r="L23" s="25">
        <v>0.05</v>
      </c>
      <c r="M23" s="25">
        <v>0.05</v>
      </c>
      <c r="N23" s="9"/>
      <c r="O23" s="9"/>
    </row>
    <row r="24" spans="7:15" x14ac:dyDescent="0.25">
      <c r="H24" s="9"/>
    </row>
  </sheetData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B15F67-8138-4EB7-8C42-E8341F1959AC}">
  <dimension ref="A1:M26"/>
  <sheetViews>
    <sheetView showGridLines="0" workbookViewId="0">
      <selection activeCell="I1" sqref="I1"/>
    </sheetView>
  </sheetViews>
  <sheetFormatPr defaultRowHeight="15" x14ac:dyDescent="0.25"/>
  <cols>
    <col min="1" max="1" width="18.140625" bestFit="1" customWidth="1"/>
    <col min="2" max="2" width="11.42578125" customWidth="1"/>
    <col min="3" max="3" width="12.85546875" customWidth="1"/>
    <col min="4" max="4" width="13.42578125" customWidth="1"/>
    <col min="5" max="5" width="11.42578125" customWidth="1"/>
    <col min="8" max="8" width="10.140625" bestFit="1" customWidth="1"/>
    <col min="9" max="9" width="10.7109375" bestFit="1" customWidth="1"/>
  </cols>
  <sheetData>
    <row r="1" spans="1:13" x14ac:dyDescent="0.25">
      <c r="A1" t="s">
        <v>311</v>
      </c>
      <c r="B1" s="14">
        <v>45003</v>
      </c>
    </row>
    <row r="2" spans="1:13" x14ac:dyDescent="0.25">
      <c r="A2" t="s">
        <v>317</v>
      </c>
    </row>
    <row r="3" spans="1:13" x14ac:dyDescent="0.25">
      <c r="B3" s="87" t="s">
        <v>303</v>
      </c>
      <c r="C3" s="88"/>
      <c r="D3" s="89" t="s">
        <v>304</v>
      </c>
      <c r="E3" s="90"/>
      <c r="F3" s="87" t="s">
        <v>316</v>
      </c>
      <c r="G3" s="88"/>
      <c r="H3" s="87" t="s">
        <v>2</v>
      </c>
      <c r="I3" s="88"/>
    </row>
    <row r="4" spans="1:13" x14ac:dyDescent="0.25">
      <c r="B4" s="66" t="s">
        <v>0</v>
      </c>
      <c r="C4" s="67" t="s">
        <v>312</v>
      </c>
      <c r="D4" s="66" t="s">
        <v>0</v>
      </c>
      <c r="E4" s="68" t="s">
        <v>312</v>
      </c>
      <c r="F4" s="66" t="s">
        <v>0</v>
      </c>
      <c r="G4" s="67" t="s">
        <v>312</v>
      </c>
      <c r="H4" s="66" t="s">
        <v>0</v>
      </c>
      <c r="I4" s="67" t="s">
        <v>312</v>
      </c>
    </row>
    <row r="5" spans="1:13" x14ac:dyDescent="0.25">
      <c r="A5" t="s">
        <v>310</v>
      </c>
      <c r="B5" s="47">
        <v>24355.31</v>
      </c>
      <c r="C5" s="48">
        <v>30527.79</v>
      </c>
      <c r="D5" s="47">
        <v>10122.86</v>
      </c>
      <c r="E5">
        <v>13831.18</v>
      </c>
      <c r="F5" s="47">
        <v>29551.279999999999</v>
      </c>
      <c r="G5" s="51">
        <v>33220.65</v>
      </c>
      <c r="H5" s="47">
        <f>'Income Statement'!G7</f>
        <v>33144.71</v>
      </c>
      <c r="I5" s="48">
        <v>35500.990000000005</v>
      </c>
      <c r="K5" s="9"/>
    </row>
    <row r="6" spans="1:13" x14ac:dyDescent="0.25">
      <c r="A6" t="s">
        <v>309</v>
      </c>
      <c r="B6" s="47">
        <v>2754.6300000000028</v>
      </c>
      <c r="C6" s="48">
        <v>3843.6499999999987</v>
      </c>
      <c r="D6" s="47">
        <v>2113.5600000000009</v>
      </c>
      <c r="E6">
        <v>3266.9800000000014</v>
      </c>
      <c r="F6" s="47">
        <v>3444.7699999999977</v>
      </c>
      <c r="G6" s="51">
        <v>3825.5200000000018</v>
      </c>
      <c r="H6" s="47">
        <f>'Income Statement'!G12</f>
        <v>5236.6099999999997</v>
      </c>
      <c r="I6" s="48">
        <v>6725.0500000000011</v>
      </c>
      <c r="J6" s="9"/>
      <c r="K6" s="9"/>
      <c r="L6" s="4"/>
    </row>
    <row r="7" spans="1:13" x14ac:dyDescent="0.25">
      <c r="A7" t="s">
        <v>273</v>
      </c>
      <c r="B7" s="49">
        <v>2011.7700000000027</v>
      </c>
      <c r="C7" s="48">
        <v>3009.6199999999985</v>
      </c>
      <c r="D7" s="47">
        <v>1668.0400000000009</v>
      </c>
      <c r="E7">
        <v>3276.9800000000014</v>
      </c>
      <c r="F7" s="47">
        <v>2755.2499999999977</v>
      </c>
      <c r="G7" s="51">
        <v>3139.5000000000018</v>
      </c>
      <c r="H7" s="47">
        <f>'Income Statement'!G14</f>
        <v>4966.8499999999995</v>
      </c>
      <c r="I7" s="48">
        <v>6139.3900000000012</v>
      </c>
      <c r="J7" s="9"/>
      <c r="L7" s="37"/>
    </row>
    <row r="8" spans="1:13" x14ac:dyDescent="0.25">
      <c r="A8" t="s">
        <v>315</v>
      </c>
      <c r="B8" s="49">
        <v>730.88</v>
      </c>
      <c r="C8" s="48">
        <v>1248.57</v>
      </c>
      <c r="D8" s="47">
        <v>1586.22</v>
      </c>
      <c r="E8" s="9">
        <v>2618.5</v>
      </c>
      <c r="F8" s="47">
        <v>2329.0500000000002</v>
      </c>
      <c r="G8" s="51">
        <v>2609.66</v>
      </c>
      <c r="H8" s="47">
        <f>'Income Statement'!G22</f>
        <v>7651.68</v>
      </c>
      <c r="I8" s="48">
        <v>5881.63</v>
      </c>
      <c r="L8" s="37"/>
      <c r="M8" s="9"/>
    </row>
    <row r="9" spans="1:13" x14ac:dyDescent="0.25">
      <c r="A9" t="s">
        <v>320</v>
      </c>
      <c r="B9" s="47"/>
      <c r="C9" s="50">
        <v>49736</v>
      </c>
      <c r="D9" s="49"/>
      <c r="E9">
        <v>81350</v>
      </c>
      <c r="F9" s="59"/>
      <c r="G9" s="51">
        <v>47065</v>
      </c>
      <c r="H9" s="49"/>
      <c r="I9" s="48">
        <v>107931</v>
      </c>
      <c r="K9" s="9"/>
      <c r="L9" s="37"/>
    </row>
    <row r="10" spans="1:13" x14ac:dyDescent="0.25">
      <c r="B10" s="49"/>
      <c r="C10" s="51"/>
      <c r="D10" s="49"/>
      <c r="F10" s="59"/>
      <c r="G10" s="51"/>
      <c r="H10" s="49"/>
      <c r="I10" s="51"/>
      <c r="K10" s="9"/>
    </row>
    <row r="11" spans="1:13" x14ac:dyDescent="0.25">
      <c r="A11" t="s">
        <v>313</v>
      </c>
      <c r="B11" s="47">
        <v>7708.8200000000006</v>
      </c>
      <c r="C11" s="48">
        <v>9493.83</v>
      </c>
      <c r="D11" s="47">
        <v>34.64</v>
      </c>
      <c r="E11">
        <v>87.65</v>
      </c>
      <c r="F11" s="47">
        <v>251.68</v>
      </c>
      <c r="G11" s="51">
        <v>262.01</v>
      </c>
      <c r="H11" s="47">
        <v>0</v>
      </c>
      <c r="I11" s="51">
        <v>0</v>
      </c>
    </row>
    <row r="12" spans="1:13" x14ac:dyDescent="0.25">
      <c r="A12" t="s">
        <v>318</v>
      </c>
      <c r="B12" s="49">
        <v>1445.68</v>
      </c>
      <c r="C12" s="48">
        <v>2170.65</v>
      </c>
      <c r="D12" s="47">
        <v>2698.56</v>
      </c>
      <c r="E12" s="9">
        <v>2283.2800000000002</v>
      </c>
      <c r="F12" s="47">
        <v>299.74</v>
      </c>
      <c r="G12" s="51">
        <v>417.79</v>
      </c>
      <c r="H12" s="47">
        <f>'Balance Sheet'!G26+'Balance Sheet'!G27</f>
        <v>958.06000000000006</v>
      </c>
      <c r="I12" s="51">
        <v>1116</v>
      </c>
    </row>
    <row r="13" spans="1:13" x14ac:dyDescent="0.25">
      <c r="A13" t="s">
        <v>319</v>
      </c>
      <c r="B13" s="52"/>
      <c r="C13" s="50">
        <f>C9+C11-C12</f>
        <v>57059.18</v>
      </c>
      <c r="D13" s="52"/>
      <c r="E13" s="2">
        <f t="shared" ref="E13:G13" si="0">E9+E11-E12</f>
        <v>79154.37</v>
      </c>
      <c r="F13" s="52"/>
      <c r="G13" s="50">
        <f t="shared" si="0"/>
        <v>46909.22</v>
      </c>
      <c r="H13" s="52"/>
      <c r="I13" s="48">
        <f>I9+I11-I12</f>
        <v>106815</v>
      </c>
    </row>
    <row r="14" spans="1:13" x14ac:dyDescent="0.25">
      <c r="B14" s="49"/>
      <c r="C14" s="50"/>
      <c r="D14" s="49"/>
      <c r="F14" s="49"/>
      <c r="G14" s="51"/>
      <c r="H14" s="49"/>
      <c r="I14" s="48"/>
    </row>
    <row r="15" spans="1:13" x14ac:dyDescent="0.25">
      <c r="A15" t="s">
        <v>40</v>
      </c>
      <c r="B15" s="47">
        <v>5053.01</v>
      </c>
      <c r="C15" s="48">
        <v>5450.99</v>
      </c>
      <c r="D15" s="47">
        <v>10794.57</v>
      </c>
      <c r="E15" s="9">
        <v>11391.27</v>
      </c>
      <c r="F15" s="47">
        <v>15994.7</v>
      </c>
      <c r="G15" s="48">
        <v>16542.73</v>
      </c>
      <c r="H15" s="47">
        <f>'Balance Sheet'!G40</f>
        <v>29859.659999999996</v>
      </c>
      <c r="I15" s="48">
        <f>'Balance Sheet'!H40</f>
        <v>28874.97</v>
      </c>
    </row>
    <row r="16" spans="1:13" x14ac:dyDescent="0.25">
      <c r="A16" t="s">
        <v>314</v>
      </c>
      <c r="B16" s="53">
        <f t="shared" ref="B16:G16" si="1">B8/B15</f>
        <v>0.14464250021274447</v>
      </c>
      <c r="C16" s="54">
        <f t="shared" si="1"/>
        <v>0.22905380490516403</v>
      </c>
      <c r="D16" s="53">
        <f t="shared" si="1"/>
        <v>0.14694610345757173</v>
      </c>
      <c r="E16" s="4">
        <f t="shared" si="1"/>
        <v>0.2298690137271788</v>
      </c>
      <c r="F16" s="53">
        <f t="shared" si="1"/>
        <v>0.14561385959098952</v>
      </c>
      <c r="G16" s="54">
        <f t="shared" si="1"/>
        <v>0.15775268048260474</v>
      </c>
      <c r="H16" s="53">
        <f>H8/H15</f>
        <v>0.25625475976618628</v>
      </c>
      <c r="I16" s="54">
        <f t="shared" ref="I16" si="2">I8/I15</f>
        <v>0.20369302548193124</v>
      </c>
    </row>
    <row r="17" spans="1:9" x14ac:dyDescent="0.25">
      <c r="A17" t="s">
        <v>168</v>
      </c>
      <c r="B17" s="63">
        <f>B6/B5</f>
        <v>0.11310182461237417</v>
      </c>
      <c r="C17" s="64">
        <f t="shared" ref="C17:I17" si="3">C6/C5</f>
        <v>0.12590659199372109</v>
      </c>
      <c r="D17" s="63">
        <f t="shared" si="3"/>
        <v>0.20879079627694158</v>
      </c>
      <c r="E17" s="65">
        <f t="shared" si="3"/>
        <v>0.23620399705592734</v>
      </c>
      <c r="F17" s="63">
        <f t="shared" si="3"/>
        <v>0.11656923151890537</v>
      </c>
      <c r="G17" s="64">
        <f t="shared" si="3"/>
        <v>0.1151548810754757</v>
      </c>
      <c r="H17" s="63">
        <f t="shared" si="3"/>
        <v>0.15799233120458739</v>
      </c>
      <c r="I17" s="64">
        <f t="shared" si="3"/>
        <v>0.18943274539667768</v>
      </c>
    </row>
    <row r="18" spans="1:9" x14ac:dyDescent="0.25">
      <c r="A18" t="s">
        <v>170</v>
      </c>
      <c r="B18" s="63">
        <f>B8/B5</f>
        <v>3.0009061678952145E-2</v>
      </c>
      <c r="C18" s="64">
        <f t="shared" ref="C18:I18" si="4">C8/C5</f>
        <v>4.089945587282931E-2</v>
      </c>
      <c r="D18" s="63">
        <f t="shared" si="4"/>
        <v>0.15669682283465344</v>
      </c>
      <c r="E18" s="65">
        <f t="shared" si="4"/>
        <v>0.18931862646571007</v>
      </c>
      <c r="F18" s="63">
        <f t="shared" si="4"/>
        <v>7.8813844950201828E-2</v>
      </c>
      <c r="G18" s="64">
        <f t="shared" si="4"/>
        <v>7.8555356382250183E-2</v>
      </c>
      <c r="H18" s="63">
        <f t="shared" si="4"/>
        <v>0.23085674908605328</v>
      </c>
      <c r="I18" s="64">
        <f t="shared" si="4"/>
        <v>0.16567509807472972</v>
      </c>
    </row>
    <row r="19" spans="1:9" x14ac:dyDescent="0.25">
      <c r="B19" s="49"/>
      <c r="C19" s="51"/>
      <c r="D19" s="49"/>
      <c r="F19" s="49"/>
      <c r="G19" s="51"/>
      <c r="H19" s="49"/>
      <c r="I19" s="51"/>
    </row>
    <row r="20" spans="1:9" x14ac:dyDescent="0.25">
      <c r="A20" t="s">
        <v>308</v>
      </c>
      <c r="B20" s="49"/>
      <c r="C20" s="55">
        <f>C$13/C5</f>
        <v>1.8690897703371256</v>
      </c>
      <c r="D20" s="58"/>
      <c r="E20" s="12">
        <f>E$13/E5</f>
        <v>5.7228934913723917</v>
      </c>
      <c r="F20" s="58"/>
      <c r="G20" s="55">
        <f>G$13/G5</f>
        <v>1.4120500351438037</v>
      </c>
      <c r="H20" s="58"/>
      <c r="I20" s="55">
        <f>I$13/I5</f>
        <v>3.0087893323538295</v>
      </c>
    </row>
    <row r="21" spans="1:9" x14ac:dyDescent="0.25">
      <c r="A21" t="s">
        <v>307</v>
      </c>
      <c r="B21" s="49"/>
      <c r="C21" s="55">
        <f>C$13/C6</f>
        <v>14.845050928154233</v>
      </c>
      <c r="D21" s="58"/>
      <c r="E21" s="12">
        <f>E$13/E6</f>
        <v>24.228605623542219</v>
      </c>
      <c r="F21" s="58"/>
      <c r="G21" s="55">
        <f>G$13/G6</f>
        <v>12.262181350509206</v>
      </c>
      <c r="H21" s="58"/>
      <c r="I21" s="55">
        <f>I$13/I6</f>
        <v>15.883153285105685</v>
      </c>
    </row>
    <row r="22" spans="1:9" x14ac:dyDescent="0.25">
      <c r="A22" t="s">
        <v>306</v>
      </c>
      <c r="B22" s="49"/>
      <c r="C22" s="55">
        <f>C$13/C7</f>
        <v>18.958931692373135</v>
      </c>
      <c r="D22" s="58"/>
      <c r="E22" s="12">
        <f>E$13/E7</f>
        <v>24.15466984845802</v>
      </c>
      <c r="F22" s="58"/>
      <c r="G22" s="55">
        <f>G$13/G7</f>
        <v>14.941621277273443</v>
      </c>
      <c r="H22" s="58"/>
      <c r="I22" s="55">
        <f>I$13/I7</f>
        <v>17.398308300987555</v>
      </c>
    </row>
    <row r="23" spans="1:9" x14ac:dyDescent="0.25">
      <c r="B23" s="49"/>
      <c r="C23" s="51"/>
      <c r="D23" s="49"/>
      <c r="F23" s="49"/>
      <c r="G23" s="51"/>
      <c r="H23" s="49"/>
      <c r="I23" s="51"/>
    </row>
    <row r="24" spans="1:9" x14ac:dyDescent="0.25">
      <c r="A24" t="s">
        <v>305</v>
      </c>
      <c r="B24" s="49"/>
      <c r="C24" s="51">
        <f>C9/C8</f>
        <v>39.834370519874739</v>
      </c>
      <c r="D24" s="49"/>
      <c r="E24" s="51">
        <f>E9/E8</f>
        <v>31.067405002864234</v>
      </c>
      <c r="F24" s="49"/>
      <c r="G24" s="51">
        <f>G9/G8</f>
        <v>18.034916425894561</v>
      </c>
      <c r="H24" s="49"/>
      <c r="I24" s="51">
        <f>I9/I8</f>
        <v>18.350525279556859</v>
      </c>
    </row>
    <row r="25" spans="1:9" x14ac:dyDescent="0.25">
      <c r="A25" t="s">
        <v>321</v>
      </c>
      <c r="B25" s="49"/>
      <c r="C25" s="51"/>
      <c r="D25" s="49">
        <v>534591</v>
      </c>
      <c r="E25" s="51">
        <v>762660</v>
      </c>
      <c r="F25" s="52">
        <v>4493996</v>
      </c>
      <c r="G25" s="50">
        <v>4809204</v>
      </c>
      <c r="H25" s="61">
        <v>4011245</v>
      </c>
      <c r="I25" s="62">
        <v>3636290</v>
      </c>
    </row>
    <row r="26" spans="1:9" x14ac:dyDescent="0.25">
      <c r="B26" s="56"/>
      <c r="C26" s="57"/>
      <c r="D26" s="56"/>
      <c r="E26" s="60">
        <f>E25/D25-1</f>
        <v>0.42662334382733724</v>
      </c>
      <c r="F26" s="56"/>
      <c r="G26" s="60">
        <f>G25/F25-1</f>
        <v>7.0139804307792097E-2</v>
      </c>
      <c r="H26" s="56"/>
      <c r="I26" s="60">
        <f>I25/H25-1</f>
        <v>-9.3475965691449892E-2</v>
      </c>
    </row>
  </sheetData>
  <mergeCells count="4">
    <mergeCell ref="B3:C3"/>
    <mergeCell ref="D3:E3"/>
    <mergeCell ref="F3:G3"/>
    <mergeCell ref="H3:I3"/>
  </mergeCells>
  <pageMargins left="0.7" right="0.7" top="0.75" bottom="0.75" header="0.3" footer="0.3"/>
  <pageSetup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357E8A-40D5-4C17-B655-9163827FC046}">
  <dimension ref="A1:M39"/>
  <sheetViews>
    <sheetView showGridLines="0" workbookViewId="0">
      <pane xSplit="3" ySplit="3" topLeftCell="D27" activePane="bottomRight" state="frozen"/>
      <selection pane="topRight" activeCell="D1" sqref="D1"/>
      <selection pane="bottomLeft" activeCell="A4" sqref="A4"/>
      <selection pane="bottomRight" activeCell="H45" sqref="H45"/>
    </sheetView>
  </sheetViews>
  <sheetFormatPr defaultRowHeight="15" x14ac:dyDescent="0.25"/>
  <cols>
    <col min="1" max="1" width="3.140625" customWidth="1"/>
    <col min="2" max="2" width="3.5703125" customWidth="1"/>
    <col min="3" max="3" width="39.140625" customWidth="1"/>
    <col min="4" max="4" width="4.42578125" customWidth="1"/>
    <col min="5" max="5" width="10.7109375" bestFit="1" customWidth="1"/>
    <col min="6" max="6" width="9.140625" customWidth="1"/>
  </cols>
  <sheetData>
    <row r="1" spans="1:13" ht="18.75" x14ac:dyDescent="0.3">
      <c r="A1" s="5" t="s">
        <v>167</v>
      </c>
    </row>
    <row r="2" spans="1:13" x14ac:dyDescent="0.25">
      <c r="A2" s="6" t="s">
        <v>7</v>
      </c>
    </row>
    <row r="3" spans="1:13" x14ac:dyDescent="0.25">
      <c r="A3" s="7" t="s">
        <v>8</v>
      </c>
      <c r="C3" s="7"/>
      <c r="E3" s="8" t="s">
        <v>143</v>
      </c>
      <c r="F3" s="8" t="s">
        <v>15</v>
      </c>
      <c r="G3" s="8" t="s">
        <v>14</v>
      </c>
      <c r="H3" s="8" t="s">
        <v>9</v>
      </c>
      <c r="I3" s="8" t="s">
        <v>13</v>
      </c>
      <c r="J3" s="8" t="s">
        <v>12</v>
      </c>
      <c r="K3" s="8" t="s">
        <v>11</v>
      </c>
      <c r="L3" s="8" t="s">
        <v>10</v>
      </c>
      <c r="M3" s="8" t="s">
        <v>188</v>
      </c>
    </row>
    <row r="4" spans="1:13" x14ac:dyDescent="0.25">
      <c r="A4" s="7" t="s">
        <v>215</v>
      </c>
    </row>
    <row r="5" spans="1:13" x14ac:dyDescent="0.25">
      <c r="B5" t="s">
        <v>178</v>
      </c>
      <c r="E5" s="37">
        <f>'Income Statement'!E9/'Income Statement'!E7</f>
        <v>0.29781992168764293</v>
      </c>
      <c r="F5" s="37">
        <f>'Income Statement'!F9/'Income Statement'!F7</f>
        <v>0.2931187250099852</v>
      </c>
      <c r="G5" s="37">
        <f>'Income Statement'!G9/'Income Statement'!G7</f>
        <v>0.26595164054837106</v>
      </c>
      <c r="H5" s="37">
        <f>'Income Statement'!H9/'Income Statement'!H7</f>
        <v>0.26875449166432303</v>
      </c>
    </row>
    <row r="6" spans="1:13" x14ac:dyDescent="0.25">
      <c r="B6" t="s">
        <v>168</v>
      </c>
      <c r="E6" s="37">
        <f>'Income Statement'!E12/'Income Statement'!E7</f>
        <v>0.16931479194415519</v>
      </c>
      <c r="F6" s="37">
        <f>'Income Statement'!F12/'Income Statement'!F7</f>
        <v>0.17708070486080568</v>
      </c>
      <c r="G6" s="37">
        <f>'Income Statement'!G12/'Income Statement'!G7</f>
        <v>0.15799233120458739</v>
      </c>
      <c r="H6" s="37">
        <f>'Income Statement'!H12/'Income Statement'!H7</f>
        <v>0.16343607704784374</v>
      </c>
    </row>
    <row r="7" spans="1:13" x14ac:dyDescent="0.25">
      <c r="B7" t="s">
        <v>169</v>
      </c>
      <c r="E7" s="37">
        <f>'Income Statement'!E14/'Income Statement'!E7</f>
        <v>0.16107812351158887</v>
      </c>
      <c r="F7" s="37">
        <f>'Income Statement'!F14/'Income Statement'!F7</f>
        <v>0.1677310328220819</v>
      </c>
      <c r="G7" s="37">
        <f>'Income Statement'!G14/'Income Statement'!G7</f>
        <v>0.14985347586387088</v>
      </c>
      <c r="H7" s="37">
        <f>'Income Statement'!H14/'Income Statement'!H7</f>
        <v>0.15562903184572238</v>
      </c>
    </row>
    <row r="8" spans="1:13" x14ac:dyDescent="0.25">
      <c r="B8" t="s">
        <v>170</v>
      </c>
      <c r="E8" s="37">
        <f>'Income Statement'!E27/'Income Statement'!E7</f>
        <v>0.17420271302348198</v>
      </c>
      <c r="F8" s="37">
        <f>'Income Statement'!F27/'Income Statement'!F7</f>
        <v>0.17508402700976314</v>
      </c>
      <c r="G8" s="37">
        <f>'Income Statement'!G27/'Income Statement'!G7</f>
        <v>0.18602878106340351</v>
      </c>
      <c r="H8" s="37">
        <f>'Income Statement'!H27/'Income Statement'!H7</f>
        <v>0.1658502844839094</v>
      </c>
    </row>
    <row r="9" spans="1:13" x14ac:dyDescent="0.25">
      <c r="B9" t="s">
        <v>216</v>
      </c>
      <c r="E9" s="37">
        <f>'Income Statement'!E14/('Balance Sheet'!E32-'Balance Sheet'!E59)</f>
        <v>0.21652995121916144</v>
      </c>
      <c r="F9" s="37">
        <f>'Income Statement'!F14/('Balance Sheet'!F32-'Balance Sheet'!F59)</f>
        <v>0.1664286324891793</v>
      </c>
      <c r="G9" s="37">
        <f>'Income Statement'!G14/('Balance Sheet'!G32-'Balance Sheet'!G59)</f>
        <v>0.16326126107766201</v>
      </c>
      <c r="H9" s="37">
        <f>'Income Statement'!H14/('Balance Sheet'!H32-'Balance Sheet'!H59)</f>
        <v>0.18695972645932707</v>
      </c>
    </row>
    <row r="10" spans="1:13" x14ac:dyDescent="0.25">
      <c r="B10" t="s">
        <v>217</v>
      </c>
      <c r="E10" s="37">
        <f>'Income Statement'!E14*(1-0.25)/(SUM('CashFlow Statement'!E57:E59)+SUM('Balance Sheet'!E6:E7,'Balance Sheet'!E9:E10)+('Balance Sheet'!E31-'Balance Sheet'!E59))</f>
        <v>0.87319414783104476</v>
      </c>
      <c r="F10" s="37">
        <f>'Income Statement'!F14*(1-0.25)/(SUM('CashFlow Statement'!F57:F59)+SUM('Balance Sheet'!F6:F7,'Balance Sheet'!F9:F10)+('Balance Sheet'!F31-'Balance Sheet'!F59))</f>
        <v>0.34016798924650465</v>
      </c>
      <c r="G10" s="37">
        <f>'Income Statement'!G14*(1-0.25)/(SUM('CashFlow Statement'!G57:G59)+SUM('Balance Sheet'!G6:G7,'Balance Sheet'!G9:G10)+('Balance Sheet'!G31-'Balance Sheet'!G59))</f>
        <v>0.4717627190766201</v>
      </c>
      <c r="H10" s="37">
        <f>'Income Statement'!H14*(1-0.25)/(SUM('CashFlow Statement'!H57:H59)+SUM('Balance Sheet'!H6:H7,'Balance Sheet'!H9:H10)+('Balance Sheet'!H31-'Balance Sheet'!H59))</f>
        <v>0.59867257410769148</v>
      </c>
    </row>
    <row r="11" spans="1:13" x14ac:dyDescent="0.25">
      <c r="B11" t="s">
        <v>327</v>
      </c>
      <c r="F11" s="37">
        <f>'Income Statement'!F27/AVERAGE('Balance Sheet'!E32:F32)</f>
        <v>0.16159974101560542</v>
      </c>
      <c r="G11" s="37">
        <f>'Income Statement'!G27/AVERAGE('Balance Sheet'!F32:G32)</f>
        <v>0.17946755864835898</v>
      </c>
      <c r="H11" s="37">
        <f>'Income Statement'!H27/AVERAGE('Balance Sheet'!G32:H32)</f>
        <v>0.16856350568532025</v>
      </c>
    </row>
    <row r="12" spans="1:13" x14ac:dyDescent="0.25">
      <c r="B12" t="s">
        <v>218</v>
      </c>
      <c r="F12" s="37">
        <f>'Income Statement'!F27/AVERAGE('Balance Sheet'!E40:F40)</f>
        <v>0.19850689264017374</v>
      </c>
      <c r="G12" s="37">
        <f>'Income Statement'!G27/AVERAGE('Balance Sheet'!F40:G40)</f>
        <v>0.21584230507359137</v>
      </c>
      <c r="H12" s="37">
        <f>'Income Statement'!H27/AVERAGE('Balance Sheet'!G40:H40)</f>
        <v>0.19881320440768913</v>
      </c>
    </row>
    <row r="13" spans="1:13" x14ac:dyDescent="0.25">
      <c r="B13" t="s">
        <v>170</v>
      </c>
      <c r="F13" s="37">
        <f>F8</f>
        <v>0.17508402700976314</v>
      </c>
      <c r="G13" s="37">
        <f t="shared" ref="G13:H13" si="0">G8</f>
        <v>0.18602878106340351</v>
      </c>
      <c r="H13" s="37">
        <f t="shared" si="0"/>
        <v>0.1658502844839094</v>
      </c>
    </row>
    <row r="14" spans="1:13" x14ac:dyDescent="0.25">
      <c r="B14" t="s">
        <v>219</v>
      </c>
      <c r="F14" s="12">
        <f>'Income Statement'!F7/AVERAGE('Balance Sheet'!E32:F32)</f>
        <v>0.92298391678296388</v>
      </c>
      <c r="G14" s="12">
        <f>'Income Statement'!G7/AVERAGE('Balance Sheet'!F32:G32)</f>
        <v>0.96473006823170937</v>
      </c>
      <c r="H14" s="12">
        <f>'Income Statement'!H7/AVERAGE('Balance Sheet'!G32:H32)</f>
        <v>1.0163594606415889</v>
      </c>
    </row>
    <row r="15" spans="1:13" x14ac:dyDescent="0.25">
      <c r="B15" t="s">
        <v>220</v>
      </c>
      <c r="F15" s="12">
        <f>AVERAGE('Balance Sheet'!E32:F32)/AVERAGE('Balance Sheet'!E40:F40)</f>
        <v>1.2283862052786598</v>
      </c>
      <c r="G15" s="12">
        <f>AVERAGE('Balance Sheet'!F32:G32)/AVERAGE('Balance Sheet'!F40:G40)</f>
        <v>1.2026814578589298</v>
      </c>
      <c r="H15" s="12">
        <f>AVERAGE('Balance Sheet'!G32:H32)/AVERAGE('Balance Sheet'!G40:H40)</f>
        <v>1.1794557997556125</v>
      </c>
    </row>
    <row r="16" spans="1:13" x14ac:dyDescent="0.25">
      <c r="B16" t="s">
        <v>221</v>
      </c>
      <c r="F16" t="b">
        <f>IF(F13*F14*F15=F12,TRUE,FALSE)</f>
        <v>1</v>
      </c>
      <c r="G16" t="b">
        <f t="shared" ref="G16:H16" si="1">IF(G13*G14*G15=G12,TRUE,FALSE)</f>
        <v>1</v>
      </c>
      <c r="H16" t="b">
        <f t="shared" si="1"/>
        <v>1</v>
      </c>
    </row>
    <row r="17" spans="1:9" x14ac:dyDescent="0.25">
      <c r="B17" t="s">
        <v>329</v>
      </c>
      <c r="F17" s="1">
        <f>1-F19</f>
        <v>0.99820260159521679</v>
      </c>
      <c r="G17" s="1">
        <f t="shared" ref="G17:H17" si="2">1-G19</f>
        <v>0.34332381318451421</v>
      </c>
      <c r="H17" s="1">
        <f t="shared" si="2"/>
        <v>0.30704739655500135</v>
      </c>
    </row>
    <row r="18" spans="1:9" x14ac:dyDescent="0.25">
      <c r="B18" t="s">
        <v>330</v>
      </c>
      <c r="F18" s="37">
        <f>F12*F17</f>
        <v>0.19815009666800382</v>
      </c>
      <c r="G18" s="37">
        <f>G12*G17</f>
        <v>7.4103803224400605E-2</v>
      </c>
      <c r="H18" s="37">
        <f>H12*H17</f>
        <v>6.1045076814138267E-2</v>
      </c>
    </row>
    <row r="19" spans="1:9" x14ac:dyDescent="0.25">
      <c r="B19" t="s">
        <v>227</v>
      </c>
      <c r="E19" s="1"/>
      <c r="F19" s="1">
        <f>ABS('CashFlow Statement'!F68)/'Income Statement'!F27</f>
        <v>1.7973984047831798E-3</v>
      </c>
      <c r="G19" s="1">
        <f>ABS('CashFlow Statement'!G68)/'Income Statement'!G27</f>
        <v>0.65667618681548579</v>
      </c>
      <c r="H19" s="1">
        <f>ABS('CashFlow Statement'!H68)/'Income Statement'!H27</f>
        <v>0.69295260344499865</v>
      </c>
    </row>
    <row r="21" spans="1:9" x14ac:dyDescent="0.25">
      <c r="A21" s="7" t="s">
        <v>222</v>
      </c>
    </row>
    <row r="22" spans="1:9" x14ac:dyDescent="0.25">
      <c r="B22" t="s">
        <v>326</v>
      </c>
      <c r="F22" s="12">
        <f>'Income Statement'!F7/AVERAGE(('Balance Sheet'!F6+'Balance Sheet'!F7+'Balance Sheet'!F9),('Balance Sheet'!E6+'Balance Sheet'!E7+'Balance Sheet'!E9))</f>
        <v>16.69695957434643</v>
      </c>
      <c r="G22" s="12">
        <f>'Income Statement'!G7/AVERAGE(('Balance Sheet'!G6+'Balance Sheet'!G7+'Balance Sheet'!G9),('Balance Sheet'!F6+'Balance Sheet'!F7+'Balance Sheet'!F9))</f>
        <v>18.975834153937758</v>
      </c>
      <c r="H22" s="12">
        <f>'Income Statement'!H7/AVERAGE(('Balance Sheet'!H6+'Balance Sheet'!H7+'Balance Sheet'!H9),('Balance Sheet'!G6+'Balance Sheet'!G7+'Balance Sheet'!G9))</f>
        <v>17.687213935097496</v>
      </c>
    </row>
    <row r="23" spans="1:9" x14ac:dyDescent="0.25">
      <c r="B23" t="s">
        <v>325</v>
      </c>
      <c r="F23" s="12">
        <f>'Income Statement'!F7/AVERAGE('Balance Sheet'!F32,'Balance Sheet'!E32)</f>
        <v>0.92298391678296388</v>
      </c>
      <c r="G23" s="12">
        <f>'Income Statement'!G7/AVERAGE('Balance Sheet'!G32,'Balance Sheet'!F32)</f>
        <v>0.96473006823170937</v>
      </c>
      <c r="H23" s="12">
        <f>'Income Statement'!H7/AVERAGE('Balance Sheet'!H32,'Balance Sheet'!G32)</f>
        <v>1.0163594606415889</v>
      </c>
    </row>
    <row r="24" spans="1:9" x14ac:dyDescent="0.25">
      <c r="B24" t="s">
        <v>171</v>
      </c>
      <c r="E24" s="12">
        <f>'Income Statement'!E5/'Balance Sheet'!E22</f>
        <v>27.373333333333335</v>
      </c>
      <c r="F24" s="12">
        <f>'Income Statement'!F5/'Balance Sheet'!F22</f>
        <v>18.162582251705278</v>
      </c>
      <c r="G24" s="12">
        <f>'Income Statement'!G5/'Balance Sheet'!G22</f>
        <v>26.115984429220404</v>
      </c>
      <c r="H24" s="12">
        <f>'Income Statement'!H5/'Balance Sheet'!H22</f>
        <v>24.947012286266364</v>
      </c>
    </row>
    <row r="25" spans="1:9" x14ac:dyDescent="0.25">
      <c r="B25" t="s">
        <v>223</v>
      </c>
      <c r="E25" s="12">
        <f t="shared" ref="E25" si="3">365/E24</f>
        <v>13.334145153433997</v>
      </c>
      <c r="F25" s="12">
        <f t="shared" ref="F25:H25" si="4">365/F24</f>
        <v>20.096261365353502</v>
      </c>
      <c r="G25" s="12">
        <f t="shared" si="4"/>
        <v>13.976114934101901</v>
      </c>
      <c r="H25" s="12">
        <f t="shared" si="4"/>
        <v>14.631010551950421</v>
      </c>
      <c r="I25" s="12"/>
    </row>
    <row r="26" spans="1:9" x14ac:dyDescent="0.25">
      <c r="B26" t="s">
        <v>172</v>
      </c>
      <c r="E26" s="12">
        <f>'Income Statement'!E5/'Balance Sheet'!E25</f>
        <v>16.875276795548086</v>
      </c>
      <c r="F26" s="12">
        <f>'Income Statement'!F5/'Balance Sheet'!F25</f>
        <v>9.9868965898006898</v>
      </c>
      <c r="G26" s="12">
        <f>'Income Statement'!G5/'Balance Sheet'!G25</f>
        <v>21.19256386921484</v>
      </c>
      <c r="H26" s="12">
        <f>'Income Statement'!H5/'Balance Sheet'!H25</f>
        <v>24.18279744697093</v>
      </c>
      <c r="I26" s="12"/>
    </row>
    <row r="27" spans="1:9" x14ac:dyDescent="0.25">
      <c r="B27" t="s">
        <v>224</v>
      </c>
      <c r="E27" s="12">
        <f t="shared" ref="E27" si="5">365/E26</f>
        <v>21.629274851141503</v>
      </c>
      <c r="F27" s="12">
        <f t="shared" ref="F27:H27" si="6">365/F26</f>
        <v>36.547890199720626</v>
      </c>
      <c r="G27" s="12">
        <f t="shared" si="6"/>
        <v>17.223022294636728</v>
      </c>
      <c r="H27" s="12">
        <f t="shared" si="6"/>
        <v>15.093373742239192</v>
      </c>
      <c r="I27" s="12"/>
    </row>
    <row r="28" spans="1:9" x14ac:dyDescent="0.25">
      <c r="B28" t="s">
        <v>173</v>
      </c>
      <c r="E28" s="12">
        <f>'Income Statement'!E8/'Balance Sheet'!E53</f>
        <v>6.5654568069453907</v>
      </c>
      <c r="F28" s="12">
        <f>'Income Statement'!F8/'Balance Sheet'!F53</f>
        <v>4.2870962875838146</v>
      </c>
      <c r="G28" s="12">
        <f>'Income Statement'!G8/'Balance Sheet'!G53</f>
        <v>6.6984623432402293</v>
      </c>
      <c r="H28" s="12">
        <f>'Income Statement'!H8/'Balance Sheet'!H53</f>
        <v>6.6679548680543324</v>
      </c>
    </row>
    <row r="29" spans="1:9" x14ac:dyDescent="0.25">
      <c r="B29" t="s">
        <v>225</v>
      </c>
      <c r="E29" s="12">
        <f t="shared" ref="E29" si="7">365/E28</f>
        <v>55.593999127962881</v>
      </c>
      <c r="F29" s="12">
        <f t="shared" ref="F29:H29" si="8">365/F28</f>
        <v>85.139212071607588</v>
      </c>
      <c r="G29" s="12">
        <f t="shared" si="8"/>
        <v>54.490117477235756</v>
      </c>
      <c r="H29" s="12">
        <f t="shared" si="8"/>
        <v>54.739422689959618</v>
      </c>
    </row>
    <row r="30" spans="1:9" x14ac:dyDescent="0.25">
      <c r="B30" t="s">
        <v>226</v>
      </c>
      <c r="E30" s="12">
        <f>E25+E27-E29</f>
        <v>-20.630579123387385</v>
      </c>
      <c r="F30" s="12">
        <f>F25+F27-F29</f>
        <v>-28.495060506533463</v>
      </c>
      <c r="G30" s="12">
        <f>G25+G27-G29</f>
        <v>-23.290980248497128</v>
      </c>
      <c r="H30" s="12">
        <f>H25+H27-H29</f>
        <v>-25.015038395770006</v>
      </c>
    </row>
    <row r="31" spans="1:9" x14ac:dyDescent="0.25">
      <c r="B31" t="s">
        <v>257</v>
      </c>
      <c r="E31" s="12"/>
      <c r="F31" s="12">
        <f>'Income Statement'!F5/AVERAGE('Balance Sheet'!E31-'Balance Sheet'!E59,'Balance Sheet'!F31-'Balance Sheet'!F59)</f>
        <v>4.9754052743194386</v>
      </c>
      <c r="G31" s="12">
        <f>'Income Statement'!G5/AVERAGE('Balance Sheet'!F31-'Balance Sheet'!F59,'Balance Sheet'!G31-'Balance Sheet'!G59)</f>
        <v>4.5194374888810582</v>
      </c>
      <c r="H31" s="12">
        <f>'Income Statement'!H5/AVERAGE('Balance Sheet'!G31-'Balance Sheet'!G59,'Balance Sheet'!H31-'Balance Sheet'!H59)</f>
        <v>6.8340162972535952</v>
      </c>
    </row>
    <row r="32" spans="1:9" x14ac:dyDescent="0.25">
      <c r="B32" t="s">
        <v>258</v>
      </c>
      <c r="E32" s="12"/>
      <c r="F32" s="12">
        <f>365/F31</f>
        <v>73.360858035816307</v>
      </c>
      <c r="G32" s="12">
        <f t="shared" ref="G32:H32" si="9">365/G31</f>
        <v>80.762263201557914</v>
      </c>
      <c r="H32" s="12">
        <f t="shared" si="9"/>
        <v>53.40929610406161</v>
      </c>
    </row>
    <row r="33" spans="1:8" x14ac:dyDescent="0.25">
      <c r="E33" s="12"/>
      <c r="F33" s="12"/>
      <c r="G33" s="12"/>
      <c r="H33" s="12"/>
    </row>
    <row r="34" spans="1:8" x14ac:dyDescent="0.25">
      <c r="A34" s="7" t="s">
        <v>331</v>
      </c>
      <c r="E34" s="12"/>
      <c r="F34" s="12"/>
      <c r="G34" s="12"/>
      <c r="H34" s="12"/>
    </row>
    <row r="35" spans="1:8" x14ac:dyDescent="0.25">
      <c r="B35" t="s">
        <v>322</v>
      </c>
      <c r="F35" s="12">
        <f>'Balance Sheet'!F31/'Balance Sheet'!F59</f>
        <v>2.5139646392158124</v>
      </c>
      <c r="G35" s="12">
        <f>'Balance Sheet'!G31/'Balance Sheet'!G59</f>
        <v>2.2108584835235159</v>
      </c>
      <c r="H35" s="12">
        <f>'Balance Sheet'!H31/'Balance Sheet'!H59</f>
        <v>1.8922699517810941</v>
      </c>
    </row>
    <row r="36" spans="1:8" x14ac:dyDescent="0.25">
      <c r="B36" t="s">
        <v>323</v>
      </c>
      <c r="F36" s="12">
        <f>SUM('Balance Sheet'!F24:F27)/'Balance Sheet'!F59</f>
        <v>1.9994188045092269</v>
      </c>
      <c r="G36" s="12">
        <f>SUM('Balance Sheet'!G24:G27)/'Balance Sheet'!G59</f>
        <v>1.5876229071131496</v>
      </c>
      <c r="H36" s="12">
        <f>SUM('Balance Sheet'!H24:H27)/'Balance Sheet'!H59</f>
        <v>1.2478262390694554</v>
      </c>
    </row>
    <row r="37" spans="1:8" x14ac:dyDescent="0.25">
      <c r="B37" t="s">
        <v>324</v>
      </c>
      <c r="F37" s="9">
        <f>SUM('Balance Sheet'!F24,'Balance Sheet'!F26:F27)/'Balance Sheet'!F59</f>
        <v>1.5180099724640921</v>
      </c>
      <c r="G37" s="9">
        <f>SUM('Balance Sheet'!G24,'Balance Sheet'!G26:G27)/'Balance Sheet'!G59</f>
        <v>1.2641975045323666</v>
      </c>
      <c r="H37" s="9">
        <f>SUM('Balance Sheet'!H24,'Balance Sheet'!H26:H27)/'Balance Sheet'!H59</f>
        <v>0.95666266728955407</v>
      </c>
    </row>
    <row r="38" spans="1:8" x14ac:dyDescent="0.25">
      <c r="A38" s="7" t="s">
        <v>332</v>
      </c>
    </row>
    <row r="39" spans="1:8" x14ac:dyDescent="0.25">
      <c r="B39" t="s">
        <v>328</v>
      </c>
      <c r="F39" s="12">
        <f>'Income Statement'!F14/'Income Statement'!F15</f>
        <v>698.65465465465468</v>
      </c>
      <c r="G39" s="12">
        <f>'Income Statement'!G14/'Income Statement'!G15</f>
        <v>573.53926096997679</v>
      </c>
      <c r="H39" s="12">
        <f>'Income Statement'!H14/'Income Statement'!H15</f>
        <v>274.90115403913677</v>
      </c>
    </row>
  </sheetData>
  <pageMargins left="0.7" right="0.7" top="0.75" bottom="0.75" header="0.3" footer="0.3"/>
  <pageSetup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16B36-BCFA-4405-9551-E8281C229619}">
  <dimension ref="A1:M29"/>
  <sheetViews>
    <sheetView showGridLines="0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B1" sqref="B1"/>
    </sheetView>
  </sheetViews>
  <sheetFormatPr defaultRowHeight="15" x14ac:dyDescent="0.25"/>
  <cols>
    <col min="1" max="1" width="3.140625" customWidth="1"/>
    <col min="2" max="2" width="3.5703125" customWidth="1"/>
    <col min="3" max="3" width="39.140625" customWidth="1"/>
    <col min="4" max="4" width="4.42578125" customWidth="1"/>
    <col min="5" max="5" width="9.140625" customWidth="1"/>
  </cols>
  <sheetData>
    <row r="1" spans="1:13" ht="18.75" x14ac:dyDescent="0.3">
      <c r="A1" s="5" t="s">
        <v>142</v>
      </c>
    </row>
    <row r="2" spans="1:13" x14ac:dyDescent="0.25">
      <c r="A2" s="6" t="s">
        <v>7</v>
      </c>
    </row>
    <row r="3" spans="1:13" x14ac:dyDescent="0.25">
      <c r="A3" s="7" t="s">
        <v>8</v>
      </c>
      <c r="C3" s="7"/>
      <c r="E3" s="8" t="s">
        <v>143</v>
      </c>
      <c r="F3" s="8" t="s">
        <v>15</v>
      </c>
      <c r="G3" s="8" t="s">
        <v>14</v>
      </c>
      <c r="H3" s="8" t="s">
        <v>9</v>
      </c>
      <c r="I3" s="8" t="s">
        <v>13</v>
      </c>
      <c r="J3" s="8" t="s">
        <v>12</v>
      </c>
      <c r="K3" s="8" t="s">
        <v>11</v>
      </c>
      <c r="L3" s="8" t="s">
        <v>10</v>
      </c>
      <c r="M3" s="8" t="s">
        <v>188</v>
      </c>
    </row>
    <row r="4" spans="1:13" x14ac:dyDescent="0.25">
      <c r="A4" s="7" t="s">
        <v>213</v>
      </c>
    </row>
    <row r="5" spans="1:13" x14ac:dyDescent="0.25">
      <c r="A5" t="str">
        <f>'Income Statement'!B7</f>
        <v>Revenue from operations</v>
      </c>
      <c r="F5" s="3"/>
      <c r="G5" s="3"/>
    </row>
    <row r="6" spans="1:13" x14ac:dyDescent="0.25">
      <c r="A6" t="s">
        <v>184</v>
      </c>
      <c r="F6" s="1">
        <f>'Revenue Model'!F9</f>
        <v>-0.21517769682838761</v>
      </c>
      <c r="G6" s="1">
        <f>'Revenue Model'!G9</f>
        <v>-6.0294145259648491E-2</v>
      </c>
      <c r="H6" s="1">
        <f>'Revenue Model'!H9</f>
        <v>0.1360749921046045</v>
      </c>
      <c r="I6" s="1">
        <f>'Scenario analysis'!I5</f>
        <v>0.1</v>
      </c>
      <c r="J6" s="1">
        <f>'Scenario analysis'!J5</f>
        <v>0.12</v>
      </c>
      <c r="K6" s="1">
        <f>'Scenario analysis'!K5</f>
        <v>0.08</v>
      </c>
      <c r="L6" s="1">
        <f>'Scenario analysis'!L5</f>
        <v>0.06</v>
      </c>
      <c r="M6" s="1">
        <f>'Scenario analysis'!M5</f>
        <v>0.05</v>
      </c>
    </row>
    <row r="7" spans="1:13" x14ac:dyDescent="0.25">
      <c r="A7" t="s">
        <v>185</v>
      </c>
      <c r="F7" s="1">
        <f>'Revenue Model'!F14</f>
        <v>-5.382420472524363E-2</v>
      </c>
      <c r="G7" s="1">
        <f>'Revenue Model'!G14</f>
        <v>0.22021645887763253</v>
      </c>
      <c r="H7" s="1">
        <f>'Revenue Model'!H14</f>
        <v>-0.24734244358751567</v>
      </c>
      <c r="I7" s="1">
        <f>'Scenario analysis'!I10</f>
        <v>-0.01</v>
      </c>
      <c r="J7" s="1">
        <f>'Scenario analysis'!J10</f>
        <v>0.02</v>
      </c>
      <c r="K7" s="1">
        <f>'Scenario analysis'!K10</f>
        <v>0.05</v>
      </c>
      <c r="L7" s="1">
        <f>'Scenario analysis'!L10</f>
        <v>0.05</v>
      </c>
      <c r="M7" s="1">
        <f>'Scenario analysis'!M10</f>
        <v>0.05</v>
      </c>
    </row>
    <row r="8" spans="1:13" x14ac:dyDescent="0.25">
      <c r="A8" t="s">
        <v>186</v>
      </c>
      <c r="F8" s="1">
        <f>'Revenue Model'!F18</f>
        <v>8.9409037476993358E-2</v>
      </c>
      <c r="G8" s="1">
        <f>'Revenue Model'!G18</f>
        <v>0.11987478615513814</v>
      </c>
      <c r="H8" s="1">
        <f>'Revenue Model'!H18</f>
        <v>0.18862588684569159</v>
      </c>
      <c r="I8" s="1">
        <f>'Scenario analysis'!I15</f>
        <v>0.1</v>
      </c>
      <c r="J8" s="1">
        <f>'Scenario analysis'!J15</f>
        <v>0.08</v>
      </c>
      <c r="K8" s="1">
        <f>'Scenario analysis'!K15</f>
        <v>0.06</v>
      </c>
      <c r="L8" s="1">
        <f>'Scenario analysis'!L15</f>
        <v>0.06</v>
      </c>
      <c r="M8" s="1">
        <f>'Scenario analysis'!M15</f>
        <v>0.06</v>
      </c>
    </row>
    <row r="9" spans="1:13" x14ac:dyDescent="0.25">
      <c r="A9" t="s">
        <v>187</v>
      </c>
      <c r="F9" s="1">
        <f>'Revenue Model'!F22</f>
        <v>9.765956610581461E-2</v>
      </c>
      <c r="G9" s="1">
        <f>'Revenue Model'!G22</f>
        <v>9.3840885064055524E-2</v>
      </c>
      <c r="H9" s="1">
        <f>'Revenue Model'!H22</f>
        <v>7.3745927113658905E-2</v>
      </c>
      <c r="I9" s="1">
        <f>'Scenario analysis'!I20</f>
        <v>0.08</v>
      </c>
      <c r="J9" s="1">
        <f>'Scenario analysis'!J20</f>
        <v>7.0000000000000007E-2</v>
      </c>
      <c r="K9" s="1">
        <f>'Scenario analysis'!K20</f>
        <v>6.5000000000000002E-2</v>
      </c>
      <c r="L9" s="1">
        <f>'Scenario analysis'!L20</f>
        <v>0.06</v>
      </c>
      <c r="M9" s="1">
        <f>'Scenario analysis'!M20</f>
        <v>0.06</v>
      </c>
    </row>
    <row r="10" spans="1:13" x14ac:dyDescent="0.25">
      <c r="A10" t="s">
        <v>189</v>
      </c>
      <c r="F10" s="1">
        <f>'Income Statement'!F6/'Income Statement'!F5</f>
        <v>2.2414854291284748E-2</v>
      </c>
      <c r="G10" s="1">
        <f>'Income Statement'!G6/'Income Statement'!G5</f>
        <v>3.1389427053414895E-2</v>
      </c>
      <c r="H10" s="1">
        <f>'Income Statement'!H6/'Income Statement'!H5</f>
        <v>2.8951077320759768E-2</v>
      </c>
      <c r="I10" s="1">
        <f>AVERAGE(F10:H10)</f>
        <v>2.7585119555153137E-2</v>
      </c>
      <c r="J10" s="1">
        <f t="shared" ref="J10:M10" si="0">AVERAGE(G10:I10)</f>
        <v>2.9308541309775935E-2</v>
      </c>
      <c r="K10" s="1">
        <f t="shared" si="0"/>
        <v>2.8614912728562949E-2</v>
      </c>
      <c r="L10" s="1">
        <f t="shared" si="0"/>
        <v>2.8502857864497341E-2</v>
      </c>
      <c r="M10" s="1">
        <f t="shared" si="0"/>
        <v>2.8808770634278742E-2</v>
      </c>
    </row>
    <row r="11" spans="1:13" x14ac:dyDescent="0.25">
      <c r="A11" t="s">
        <v>192</v>
      </c>
      <c r="F11" s="1">
        <f>'Income Statement'!F8/'Income Statement'!F7</f>
        <v>0.70688127499001485</v>
      </c>
      <c r="G11" s="1">
        <f>'Income Statement'!G8/'Income Statement'!G7</f>
        <v>0.73404835945162894</v>
      </c>
      <c r="H11" s="1">
        <f>'Income Statement'!H8/'Income Statement'!H7</f>
        <v>0.73124550833567692</v>
      </c>
      <c r="I11" s="1">
        <f>H11</f>
        <v>0.73124550833567692</v>
      </c>
      <c r="J11" s="4">
        <v>0.7</v>
      </c>
      <c r="K11" s="4">
        <v>0.7</v>
      </c>
      <c r="L11" s="4">
        <v>0.7</v>
      </c>
      <c r="M11" s="4">
        <v>0.7</v>
      </c>
    </row>
    <row r="12" spans="1:13" x14ac:dyDescent="0.25">
      <c r="A12" t="s">
        <v>65</v>
      </c>
      <c r="F12" s="1">
        <f>'Income Statement'!F10/'Income Statement'!F5</f>
        <v>4.7473731152954522E-2</v>
      </c>
      <c r="G12" s="1">
        <f>'Income Statement'!G10/'Income Statement'!G5</f>
        <v>4.2406984321000943E-2</v>
      </c>
      <c r="H12" s="1">
        <f>'Income Statement'!H10/'Income Statement'!H5</f>
        <v>4.0657247794589166E-2</v>
      </c>
      <c r="I12" s="4">
        <v>0.04</v>
      </c>
      <c r="J12" s="4">
        <v>0.04</v>
      </c>
      <c r="K12" s="4">
        <v>0.04</v>
      </c>
      <c r="L12" s="4">
        <v>0.04</v>
      </c>
      <c r="M12" s="4">
        <v>0.04</v>
      </c>
    </row>
    <row r="13" spans="1:13" x14ac:dyDescent="0.25">
      <c r="A13" t="s">
        <v>193</v>
      </c>
      <c r="F13" s="1">
        <f>'Income Statement'!F11/'Income Statement'!F5</f>
        <v>7.1165264310117979E-2</v>
      </c>
      <c r="G13" s="1">
        <f>'Income Statement'!G11/'Income Statement'!G5</f>
        <v>6.8941105888166473E-2</v>
      </c>
      <c r="H13" s="1">
        <f>'Income Statement'!H11/'Income Statement'!H5</f>
        <v>6.7710248386751687E-2</v>
      </c>
      <c r="I13" s="1">
        <f>AVERAGE(F13:H13)</f>
        <v>6.9272206195012051E-2</v>
      </c>
      <c r="J13" s="1">
        <f t="shared" ref="J13:M13" si="1">AVERAGE(G13:I13)</f>
        <v>6.8641186823310066E-2</v>
      </c>
      <c r="K13" s="1">
        <f t="shared" si="1"/>
        <v>6.8541213801691259E-2</v>
      </c>
      <c r="L13" s="1">
        <f t="shared" si="1"/>
        <v>6.8818202273337792E-2</v>
      </c>
      <c r="M13" s="1">
        <f t="shared" si="1"/>
        <v>6.8666867632779696E-2</v>
      </c>
    </row>
    <row r="14" spans="1:13" x14ac:dyDescent="0.25">
      <c r="A14" t="s">
        <v>194</v>
      </c>
      <c r="F14" s="1">
        <f>'Income Statement'!F17/'Income Statement'!F5</f>
        <v>4.7044731672618849E-2</v>
      </c>
      <c r="G14" s="1">
        <f>'Income Statement'!G17/'Income Statement'!G5</f>
        <v>3.9959571794605304E-2</v>
      </c>
      <c r="H14" s="1">
        <f>'Income Statement'!H17/'Income Statement'!H5</f>
        <v>3.7704619043081727E-2</v>
      </c>
      <c r="I14" s="1">
        <v>3.5000000000000003E-2</v>
      </c>
      <c r="J14" s="4">
        <v>0.03</v>
      </c>
      <c r="K14" s="4">
        <v>0.03</v>
      </c>
      <c r="L14" s="4">
        <v>0.03</v>
      </c>
      <c r="M14" s="4">
        <v>0.03</v>
      </c>
    </row>
    <row r="15" spans="1:13" x14ac:dyDescent="0.25">
      <c r="A15" t="s">
        <v>228</v>
      </c>
      <c r="F15" s="1">
        <f>'Income Statement'!F15/'Income Statement'!F5</f>
        <v>2.4545846555288964E-4</v>
      </c>
      <c r="G15" s="1">
        <f>'Income Statement'!G15/'Income Statement'!G5</f>
        <v>2.6947987893943175E-4</v>
      </c>
      <c r="H15" s="1">
        <f>'Income Statement'!H15/'Income Statement'!H5</f>
        <v>5.8251723438470918E-4</v>
      </c>
      <c r="I15" s="1">
        <f>AVERAGE(F15:H15)</f>
        <v>3.6581852629234349E-4</v>
      </c>
      <c r="J15" s="1">
        <f t="shared" ref="J15:M15" si="2">AVERAGE(G15:I15)</f>
        <v>4.0593854653882814E-4</v>
      </c>
      <c r="K15" s="1">
        <f t="shared" si="2"/>
        <v>4.5142476907196022E-4</v>
      </c>
      <c r="L15" s="1">
        <f t="shared" si="2"/>
        <v>4.0772728063437732E-4</v>
      </c>
      <c r="M15" s="1">
        <f t="shared" si="2"/>
        <v>4.2169686541505521E-4</v>
      </c>
    </row>
    <row r="16" spans="1:13" x14ac:dyDescent="0.25">
      <c r="A16" t="s">
        <v>196</v>
      </c>
      <c r="F16" s="1">
        <f>'Income Statement'!E26/'Income Statement'!E18</f>
        <v>0.23235101136153158</v>
      </c>
      <c r="G16" s="1">
        <f>'Income Statement'!F26/'Income Statement'!F18</f>
        <v>0.23325768182898038</v>
      </c>
      <c r="H16" s="1">
        <f>'Income Statement'!G26/'Income Statement'!G18</f>
        <v>0.23751526622375965</v>
      </c>
      <c r="I16" s="1">
        <v>0.25</v>
      </c>
      <c r="J16" s="1">
        <v>0.25</v>
      </c>
      <c r="K16" s="1">
        <v>0.25</v>
      </c>
      <c r="L16" s="1">
        <v>0.25</v>
      </c>
      <c r="M16" s="1">
        <v>0.25</v>
      </c>
    </row>
    <row r="17" spans="1:13" x14ac:dyDescent="0.25">
      <c r="A17" t="str">
        <f>'Income Statement'!B19</f>
        <v>Share in profit of associate</v>
      </c>
      <c r="F17" s="1">
        <f>'Income Statement'!F19/'Income Statement'!E19-1</f>
        <v>-4.7245808839538439E-2</v>
      </c>
      <c r="G17" s="1">
        <f>'Income Statement'!G19/'Income Statement'!F19-1</f>
        <v>0.89191042047531988</v>
      </c>
      <c r="H17" s="1">
        <f>'Income Statement'!H19/'Income Statement'!G19-1</f>
        <v>-0.30730074370610672</v>
      </c>
      <c r="I17" s="1">
        <v>0</v>
      </c>
      <c r="J17" s="1">
        <v>0.05</v>
      </c>
      <c r="K17" s="1">
        <v>0.03</v>
      </c>
      <c r="L17" s="1">
        <v>0.03</v>
      </c>
      <c r="M17" s="1">
        <v>0.03</v>
      </c>
    </row>
    <row r="19" spans="1:13" x14ac:dyDescent="0.25">
      <c r="A19" s="7" t="s">
        <v>214</v>
      </c>
    </row>
    <row r="20" spans="1:13" x14ac:dyDescent="0.25">
      <c r="A20" t="s">
        <v>210</v>
      </c>
      <c r="F20" s="1">
        <f>'Income Statement'!F13/Capex!F12</f>
        <v>6.2023678855227068E-2</v>
      </c>
      <c r="G20" s="1">
        <f>'Income Statement'!G13/Capex!G12</f>
        <v>6.036641446860503E-2</v>
      </c>
      <c r="H20" s="1">
        <f>'Income Statement'!H13/Capex!H12</f>
        <v>5.7298442242903355E-2</v>
      </c>
      <c r="I20" s="1">
        <v>0.06</v>
      </c>
      <c r="J20" s="4">
        <v>0.06</v>
      </c>
      <c r="K20" s="4">
        <v>0.06</v>
      </c>
      <c r="L20" s="4">
        <v>0.06</v>
      </c>
      <c r="M20" s="4">
        <v>0.06</v>
      </c>
    </row>
    <row r="21" spans="1:13" x14ac:dyDescent="0.25">
      <c r="A21" t="s">
        <v>211</v>
      </c>
      <c r="F21" s="1">
        <f>'Balance Sheet'!E7/'Balance Sheet'!E6</f>
        <v>2.9050641997965081E-2</v>
      </c>
      <c r="G21" s="1">
        <f>'Balance Sheet'!F7/'Balance Sheet'!F6</f>
        <v>1.0191651519499984E-2</v>
      </c>
      <c r="H21" s="1">
        <f>'Balance Sheet'!G7/'Balance Sheet'!G6</f>
        <v>4.3879290747897245E-2</v>
      </c>
      <c r="I21" s="1">
        <v>2.5000000000000001E-2</v>
      </c>
      <c r="J21" s="1">
        <v>2.5000000000000001E-2</v>
      </c>
      <c r="K21" s="1">
        <v>2.5000000000000001E-2</v>
      </c>
      <c r="L21" s="1">
        <v>2.5000000000000001E-2</v>
      </c>
      <c r="M21" s="1">
        <v>2.5000000000000001E-2</v>
      </c>
    </row>
    <row r="22" spans="1:13" x14ac:dyDescent="0.25">
      <c r="A22" t="s">
        <v>212</v>
      </c>
      <c r="F22" s="1">
        <f>'Balance Sheet'!F9/'Balance Sheet'!F6</f>
        <v>3.0166778277368536E-2</v>
      </c>
      <c r="G22" s="1">
        <f>'Balance Sheet'!G9/'Balance Sheet'!G6</f>
        <v>1.4389634007729031E-2</v>
      </c>
      <c r="H22" s="1">
        <f>'Balance Sheet'!H9/'Balance Sheet'!H6</f>
        <v>1.8447721342314462E-2</v>
      </c>
      <c r="I22" s="4">
        <v>0.02</v>
      </c>
      <c r="J22" s="4">
        <v>0.02</v>
      </c>
      <c r="K22" s="4">
        <v>0.02</v>
      </c>
      <c r="L22" s="4">
        <v>0.02</v>
      </c>
      <c r="M22" s="4">
        <v>0.02</v>
      </c>
    </row>
    <row r="23" spans="1:13" x14ac:dyDescent="0.25">
      <c r="A23" t="str">
        <f>'Ratio Analysis'!B24</f>
        <v>Inventory Turnover ratio</v>
      </c>
      <c r="F23" s="12">
        <f>'Ratio Analysis'!F24</f>
        <v>18.162582251705278</v>
      </c>
      <c r="G23" s="12">
        <f>'Ratio Analysis'!G24</f>
        <v>26.115984429220404</v>
      </c>
      <c r="H23" s="12">
        <f>'Ratio Analysis'!H24</f>
        <v>24.947012286266364</v>
      </c>
      <c r="I23" s="12">
        <f t="shared" ref="I23:M23" si="3">365/I24</f>
        <v>22.483036002010458</v>
      </c>
      <c r="J23" s="12">
        <f t="shared" si="3"/>
        <v>24.419295891572727</v>
      </c>
      <c r="K23" s="12">
        <f t="shared" si="3"/>
        <v>23.901685487030218</v>
      </c>
      <c r="L23" s="12">
        <f t="shared" si="3"/>
        <v>23.57244224513374</v>
      </c>
      <c r="M23" s="12">
        <f t="shared" si="3"/>
        <v>23.959423576654213</v>
      </c>
    </row>
    <row r="24" spans="1:13" x14ac:dyDescent="0.25">
      <c r="A24" t="str">
        <f>'Ratio Analysis'!B25</f>
        <v xml:space="preserve">Number of Days in Inventory </v>
      </c>
      <c r="F24" s="12">
        <f>'Ratio Analysis'!F25</f>
        <v>20.096261365353502</v>
      </c>
      <c r="G24" s="12">
        <f>'Ratio Analysis'!G25</f>
        <v>13.976114934101901</v>
      </c>
      <c r="H24" s="12">
        <f>'Ratio Analysis'!H25</f>
        <v>14.631010551950421</v>
      </c>
      <c r="I24" s="12">
        <f>AVERAGE(F24:H24)</f>
        <v>16.234462283801943</v>
      </c>
      <c r="J24" s="12">
        <f t="shared" ref="J24:M24" si="4">AVERAGE(G24:I24)</f>
        <v>14.947195923284754</v>
      </c>
      <c r="K24" s="12">
        <f t="shared" si="4"/>
        <v>15.270889586345705</v>
      </c>
      <c r="L24" s="12">
        <f t="shared" si="4"/>
        <v>15.484182597810801</v>
      </c>
      <c r="M24" s="12">
        <f t="shared" si="4"/>
        <v>15.234089369147085</v>
      </c>
    </row>
    <row r="25" spans="1:13" x14ac:dyDescent="0.25">
      <c r="A25" t="str">
        <f>'Ratio Analysis'!B26</f>
        <v>Receivable Turnover ratio</v>
      </c>
      <c r="F25" s="12">
        <f>'Ratio Analysis'!F26</f>
        <v>9.9868965898006898</v>
      </c>
      <c r="G25" s="12">
        <f>'Ratio Analysis'!G26</f>
        <v>21.19256386921484</v>
      </c>
      <c r="H25" s="12">
        <f>'Ratio Analysis'!H26</f>
        <v>24.18279744697093</v>
      </c>
      <c r="I25" s="12">
        <f>365/I26</f>
        <v>19.210526315789473</v>
      </c>
      <c r="J25" s="12">
        <f t="shared" ref="J25:M25" si="5">365/J26</f>
        <v>21.338209316436288</v>
      </c>
      <c r="K25" s="12">
        <f t="shared" si="5"/>
        <v>21.387203684849652</v>
      </c>
      <c r="L25" s="12">
        <f t="shared" si="5"/>
        <v>20.593644221074808</v>
      </c>
      <c r="M25" s="12">
        <f t="shared" si="5"/>
        <v>21.100030307548074</v>
      </c>
    </row>
    <row r="26" spans="1:13" x14ac:dyDescent="0.25">
      <c r="A26" t="str">
        <f>'Ratio Analysis'!B27</f>
        <v>Number of days in Receivables</v>
      </c>
      <c r="F26" s="12">
        <f>'Ratio Analysis'!F27</f>
        <v>36.547890199720626</v>
      </c>
      <c r="G26" s="12">
        <f>'Ratio Analysis'!G27</f>
        <v>17.223022294636728</v>
      </c>
      <c r="H26" s="12">
        <f>'Ratio Analysis'!H27</f>
        <v>15.093373742239192</v>
      </c>
      <c r="I26" s="12">
        <v>19</v>
      </c>
      <c r="J26" s="12">
        <f t="shared" ref="J26:M26" si="6">AVERAGE(G26:I26)</f>
        <v>17.105465345625309</v>
      </c>
      <c r="K26" s="12">
        <f t="shared" si="6"/>
        <v>17.066279695954833</v>
      </c>
      <c r="L26" s="12">
        <f t="shared" si="6"/>
        <v>17.723915013860047</v>
      </c>
      <c r="M26" s="12">
        <f t="shared" si="6"/>
        <v>17.298553351813396</v>
      </c>
    </row>
    <row r="27" spans="1:13" x14ac:dyDescent="0.25">
      <c r="A27" t="str">
        <f>'Ratio Analysis'!B28</f>
        <v>Payable Turnover ratio</v>
      </c>
      <c r="F27" s="12">
        <f>'Ratio Analysis'!F28</f>
        <v>4.2870962875838146</v>
      </c>
      <c r="G27" s="12">
        <f>'Ratio Analysis'!G28</f>
        <v>6.6984623432402293</v>
      </c>
      <c r="H27" s="12">
        <f>'Ratio Analysis'!H28</f>
        <v>6.6679548680543324</v>
      </c>
      <c r="I27" s="12">
        <f>365/I28</f>
        <v>6.7592592592592595</v>
      </c>
      <c r="J27" s="12">
        <f t="shared" ref="J27:M27" si="7">365/J28</f>
        <v>7.3</v>
      </c>
      <c r="K27" s="12">
        <f t="shared" si="7"/>
        <v>6.8980974067084064</v>
      </c>
      <c r="L27" s="12">
        <f t="shared" si="7"/>
        <v>6.9783830324395426</v>
      </c>
      <c r="M27" s="12">
        <f t="shared" si="7"/>
        <v>7.0546159451970452</v>
      </c>
    </row>
    <row r="28" spans="1:13" x14ac:dyDescent="0.25">
      <c r="A28" t="str">
        <f>'Ratio Analysis'!B29</f>
        <v>Number of days of Payables</v>
      </c>
      <c r="F28" s="12">
        <f>'Ratio Analysis'!F29</f>
        <v>85.139212071607588</v>
      </c>
      <c r="G28" s="12">
        <f>'Ratio Analysis'!G29</f>
        <v>54.490117477235756</v>
      </c>
      <c r="H28" s="12">
        <f>'Ratio Analysis'!H29</f>
        <v>54.739422689959618</v>
      </c>
      <c r="I28" s="12">
        <v>54</v>
      </c>
      <c r="J28" s="12">
        <v>50</v>
      </c>
      <c r="K28" s="12">
        <f t="shared" ref="K28:M28" si="8">AVERAGE(H28:J28)</f>
        <v>52.913140896653204</v>
      </c>
      <c r="L28" s="12">
        <f t="shared" si="8"/>
        <v>52.304380298884404</v>
      </c>
      <c r="M28" s="12">
        <f t="shared" si="8"/>
        <v>51.739173731845874</v>
      </c>
    </row>
    <row r="29" spans="1:13" x14ac:dyDescent="0.25">
      <c r="A29" t="s">
        <v>227</v>
      </c>
      <c r="F29" s="1">
        <f>'Ratio Analysis'!F19</f>
        <v>1.7973984047831798E-3</v>
      </c>
      <c r="G29" s="1">
        <f>'Ratio Analysis'!G19</f>
        <v>0.65667618681548579</v>
      </c>
      <c r="H29" s="1">
        <f>'Ratio Analysis'!H19</f>
        <v>0.69295260344499865</v>
      </c>
      <c r="I29" s="4">
        <v>0.7</v>
      </c>
      <c r="J29" s="4">
        <v>0.7</v>
      </c>
      <c r="K29" s="4">
        <v>0.7</v>
      </c>
      <c r="L29" s="4">
        <v>0.7</v>
      </c>
      <c r="M29" s="4">
        <v>0.7</v>
      </c>
    </row>
  </sheetData>
  <pageMargins left="0.7" right="0.7" top="0.75" bottom="0.75" header="0.3" footer="0.3"/>
  <pageSetup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F7394-E639-420F-BFC6-525B264B3681}">
  <dimension ref="A1:M65"/>
  <sheetViews>
    <sheetView showGridLines="0" zoomScale="110" zoomScaleNormal="110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B1" sqref="B1"/>
    </sheetView>
  </sheetViews>
  <sheetFormatPr defaultRowHeight="15" x14ac:dyDescent="0.25"/>
  <cols>
    <col min="1" max="1" width="3.140625" customWidth="1"/>
    <col min="2" max="2" width="3.5703125" customWidth="1"/>
    <col min="3" max="3" width="39.140625" customWidth="1"/>
    <col min="4" max="4" width="4.42578125" customWidth="1"/>
    <col min="5" max="5" width="14.28515625" bestFit="1" customWidth="1"/>
    <col min="6" max="6" width="10.7109375" bestFit="1" customWidth="1"/>
    <col min="7" max="7" width="9.140625" customWidth="1"/>
    <col min="8" max="8" width="10.85546875" bestFit="1" customWidth="1"/>
    <col min="9" max="9" width="12" customWidth="1"/>
    <col min="10" max="10" width="9.140625" customWidth="1"/>
  </cols>
  <sheetData>
    <row r="1" spans="1:13" ht="18.75" x14ac:dyDescent="0.3">
      <c r="A1" s="5" t="s">
        <v>144</v>
      </c>
    </row>
    <row r="2" spans="1:13" x14ac:dyDescent="0.25">
      <c r="A2" s="6" t="s">
        <v>7</v>
      </c>
    </row>
    <row r="3" spans="1:13" x14ac:dyDescent="0.25">
      <c r="A3" s="7" t="s">
        <v>8</v>
      </c>
      <c r="C3" s="7"/>
      <c r="E3" s="8" t="s">
        <v>143</v>
      </c>
      <c r="F3" s="8" t="s">
        <v>15</v>
      </c>
      <c r="G3" s="8" t="s">
        <v>14</v>
      </c>
      <c r="H3" s="8" t="s">
        <v>175</v>
      </c>
      <c r="I3" s="8" t="s">
        <v>13</v>
      </c>
      <c r="J3" s="8" t="s">
        <v>12</v>
      </c>
      <c r="K3" s="8" t="s">
        <v>11</v>
      </c>
      <c r="L3" s="8" t="s">
        <v>10</v>
      </c>
      <c r="M3" s="8" t="s">
        <v>188</v>
      </c>
    </row>
    <row r="4" spans="1:13" x14ac:dyDescent="0.25">
      <c r="A4" s="7"/>
      <c r="C4" s="7"/>
      <c r="E4" s="8"/>
      <c r="F4" s="8"/>
      <c r="G4" s="8"/>
      <c r="H4" s="8"/>
      <c r="I4" s="8"/>
      <c r="J4" s="8"/>
      <c r="K4" s="8"/>
      <c r="L4" s="8"/>
    </row>
    <row r="5" spans="1:13" x14ac:dyDescent="0.25">
      <c r="A5" s="7" t="s">
        <v>280</v>
      </c>
      <c r="F5" s="1"/>
      <c r="G5" s="1"/>
      <c r="H5" s="1"/>
      <c r="I5" s="8"/>
      <c r="J5" s="8"/>
      <c r="K5" s="8"/>
      <c r="L5" s="8"/>
    </row>
    <row r="6" spans="1:13" x14ac:dyDescent="0.25">
      <c r="A6" s="7"/>
      <c r="C6" t="s">
        <v>163</v>
      </c>
      <c r="E6" s="2">
        <f>E34</f>
        <v>2078136</v>
      </c>
      <c r="F6" s="2">
        <f>F34</f>
        <v>1807980</v>
      </c>
      <c r="G6" s="2">
        <f>G34+G65</f>
        <v>1641084</v>
      </c>
      <c r="H6" s="2">
        <f>1653596+107081</f>
        <v>1760677</v>
      </c>
      <c r="I6" s="15"/>
      <c r="J6" s="15"/>
      <c r="K6" s="15"/>
      <c r="L6" s="15"/>
      <c r="M6" s="2"/>
    </row>
    <row r="7" spans="1:13" x14ac:dyDescent="0.25">
      <c r="A7" s="7"/>
      <c r="C7" t="s">
        <v>164</v>
      </c>
      <c r="E7" s="2">
        <f>E62</f>
        <v>364817</v>
      </c>
      <c r="F7" s="2">
        <f>F62</f>
        <v>109304</v>
      </c>
      <c r="G7" s="2">
        <f>G62</f>
        <v>160599</v>
      </c>
      <c r="H7" s="2">
        <f>266499+19671</f>
        <v>286170</v>
      </c>
      <c r="I7" s="15"/>
      <c r="J7" s="15"/>
      <c r="K7" s="15"/>
      <c r="L7" s="15"/>
      <c r="M7" s="2"/>
    </row>
    <row r="8" spans="1:13" x14ac:dyDescent="0.25">
      <c r="A8" s="7"/>
      <c r="C8" t="s">
        <v>165</v>
      </c>
      <c r="D8" s="7"/>
      <c r="E8" s="17">
        <f>SUM(E6:E7)</f>
        <v>2442953</v>
      </c>
      <c r="F8" s="17">
        <f t="shared" ref="F8:H8" si="0">SUM(F6:F7)</f>
        <v>1917284</v>
      </c>
      <c r="G8" s="17">
        <f t="shared" si="0"/>
        <v>1801683</v>
      </c>
      <c r="H8" s="17">
        <f t="shared" si="0"/>
        <v>2046847</v>
      </c>
      <c r="I8" s="36">
        <f>H8*(1+I9)</f>
        <v>2251531.7000000002</v>
      </c>
      <c r="J8" s="15">
        <f t="shared" ref="J8:M8" si="1">I8*(1+J9)</f>
        <v>2521715.5040000007</v>
      </c>
      <c r="K8" s="15">
        <f t="shared" si="1"/>
        <v>2723452.744320001</v>
      </c>
      <c r="L8" s="15">
        <f t="shared" si="1"/>
        <v>2886859.9089792012</v>
      </c>
      <c r="M8" s="15">
        <f t="shared" si="1"/>
        <v>3031202.9044281612</v>
      </c>
    </row>
    <row r="9" spans="1:13" x14ac:dyDescent="0.25">
      <c r="A9" s="7"/>
      <c r="C9" t="s">
        <v>146</v>
      </c>
      <c r="E9" s="2"/>
      <c r="F9" s="1">
        <f>F8/E8-1</f>
        <v>-0.21517769682838761</v>
      </c>
      <c r="G9" s="1">
        <f>G8/F8-1</f>
        <v>-6.0294145259648491E-2</v>
      </c>
      <c r="H9" s="1">
        <f>H8/G8-1</f>
        <v>0.1360749921046045</v>
      </c>
      <c r="I9" s="32">
        <f>Assumptions!I6</f>
        <v>0.1</v>
      </c>
      <c r="J9" s="33">
        <f>Assumptions!J6</f>
        <v>0.12</v>
      </c>
      <c r="K9" s="33">
        <f>Assumptions!K6</f>
        <v>0.08</v>
      </c>
      <c r="L9" s="33">
        <f>Assumptions!L6</f>
        <v>0.06</v>
      </c>
      <c r="M9" s="33">
        <f>Assumptions!M6</f>
        <v>0.05</v>
      </c>
    </row>
    <row r="10" spans="1:13" x14ac:dyDescent="0.25">
      <c r="A10" s="7" t="s">
        <v>162</v>
      </c>
      <c r="E10" s="2"/>
      <c r="F10" s="1">
        <f>F13/(F8+F13)</f>
        <v>0.51724309844238914</v>
      </c>
      <c r="G10" s="1">
        <f>G13/(G8+G13)</f>
        <v>0.58181202880294802</v>
      </c>
      <c r="H10" s="1">
        <f>H13/(H8+H13)</f>
        <v>0.4796343083652686</v>
      </c>
      <c r="I10" s="2"/>
      <c r="J10" s="2"/>
      <c r="K10" s="2"/>
      <c r="L10" s="2"/>
    </row>
    <row r="11" spans="1:13" x14ac:dyDescent="0.25">
      <c r="A11" s="7"/>
      <c r="C11" t="s">
        <v>163</v>
      </c>
      <c r="E11" s="2">
        <v>1869220</v>
      </c>
      <c r="F11" s="2">
        <v>1796518</v>
      </c>
      <c r="G11" s="2">
        <v>2195772</v>
      </c>
      <c r="H11" s="2">
        <f>1542241+149243</f>
        <v>1691484</v>
      </c>
      <c r="I11" s="16"/>
      <c r="J11" s="16"/>
      <c r="K11" s="16"/>
      <c r="L11" s="16"/>
      <c r="M11" s="2"/>
    </row>
    <row r="12" spans="1:13" x14ac:dyDescent="0.25">
      <c r="A12" s="7"/>
      <c r="C12" t="s">
        <v>164</v>
      </c>
      <c r="E12" s="2">
        <v>301885</v>
      </c>
      <c r="F12" s="2">
        <v>257729</v>
      </c>
      <c r="G12" s="2">
        <v>310854</v>
      </c>
      <c r="H12" s="2">
        <f>173954+21193</f>
        <v>195147</v>
      </c>
      <c r="I12" s="15"/>
      <c r="J12" s="15"/>
      <c r="K12" s="15"/>
      <c r="L12" s="15"/>
      <c r="M12" s="2"/>
    </row>
    <row r="13" spans="1:13" x14ac:dyDescent="0.25">
      <c r="A13" s="7"/>
      <c r="C13" t="s">
        <v>165</v>
      </c>
      <c r="D13" s="7"/>
      <c r="E13" s="17">
        <f>SUM(E11:E12)</f>
        <v>2171105</v>
      </c>
      <c r="F13" s="17">
        <f>SUM(F11:F12)</f>
        <v>2054247</v>
      </c>
      <c r="G13" s="17">
        <f>SUM(G11:G12)</f>
        <v>2506626</v>
      </c>
      <c r="H13" s="17">
        <f>SUM(H11:H12)</f>
        <v>1886631</v>
      </c>
      <c r="I13" s="36">
        <f>H13*(1+I14)</f>
        <v>1867764.69</v>
      </c>
      <c r="J13" s="15">
        <f t="shared" ref="J13:M13" si="2">I13*(1+J14)</f>
        <v>1905119.9838</v>
      </c>
      <c r="K13" s="15">
        <f t="shared" si="2"/>
        <v>2000375.9829900002</v>
      </c>
      <c r="L13" s="15">
        <f t="shared" si="2"/>
        <v>2100394.7821395001</v>
      </c>
      <c r="M13" s="15">
        <f t="shared" si="2"/>
        <v>2205414.5212464752</v>
      </c>
    </row>
    <row r="14" spans="1:13" x14ac:dyDescent="0.25">
      <c r="A14" s="7"/>
      <c r="C14" t="s">
        <v>146</v>
      </c>
      <c r="E14" s="2"/>
      <c r="F14" s="1">
        <f>F13/E13-1</f>
        <v>-5.382420472524363E-2</v>
      </c>
      <c r="G14" s="1">
        <f>G13/F13-1</f>
        <v>0.22021645887763253</v>
      </c>
      <c r="H14" s="1">
        <f>H13/G13-1</f>
        <v>-0.24734244358751567</v>
      </c>
      <c r="I14" s="32">
        <f>Assumptions!I7</f>
        <v>-0.01</v>
      </c>
      <c r="J14" s="33">
        <f>Assumptions!J7</f>
        <v>0.02</v>
      </c>
      <c r="K14" s="33">
        <f>Assumptions!K7</f>
        <v>0.05</v>
      </c>
      <c r="L14" s="33">
        <f>Assumptions!L7</f>
        <v>0.05</v>
      </c>
      <c r="M14" s="33">
        <f>Assumptions!M7</f>
        <v>0.05</v>
      </c>
    </row>
    <row r="15" spans="1:13" x14ac:dyDescent="0.25">
      <c r="A15" s="7"/>
      <c r="C15" s="7"/>
      <c r="D15" s="7"/>
      <c r="E15" s="17"/>
      <c r="F15" s="18"/>
      <c r="G15" s="18"/>
      <c r="H15" s="18"/>
      <c r="I15" s="31"/>
      <c r="J15" s="16"/>
      <c r="K15" s="16"/>
      <c r="L15" s="16"/>
      <c r="M15" s="16"/>
    </row>
    <row r="16" spans="1:13" x14ac:dyDescent="0.25">
      <c r="A16" s="7" t="s">
        <v>179</v>
      </c>
      <c r="E16" s="2">
        <v>16895.61</v>
      </c>
      <c r="F16" s="2">
        <v>14445.62</v>
      </c>
      <c r="G16" s="2">
        <v>15201.89</v>
      </c>
      <c r="H16" s="2">
        <f>'Income Statement'!H5*0.6</f>
        <v>20528.148000000001</v>
      </c>
      <c r="I16" s="79">
        <f>(I8*I17)/10^7</f>
        <v>24839.059080000003</v>
      </c>
      <c r="J16" s="80">
        <f t="shared" ref="J16:M16" si="3">(J8*J17)/10^7</f>
        <v>30045.325863168011</v>
      </c>
      <c r="K16" s="80">
        <f t="shared" si="3"/>
        <v>34395.88904815475</v>
      </c>
      <c r="L16" s="80">
        <f t="shared" si="3"/>
        <v>38647.22093450668</v>
      </c>
      <c r="M16" s="80">
        <f t="shared" si="3"/>
        <v>43014.35690010593</v>
      </c>
    </row>
    <row r="17" spans="1:13" x14ac:dyDescent="0.25">
      <c r="A17" s="7"/>
      <c r="B17" t="s">
        <v>181</v>
      </c>
      <c r="C17" s="7"/>
      <c r="D17" s="7"/>
      <c r="E17" s="17">
        <f>E16*(10^7)/E8</f>
        <v>69160.601943631336</v>
      </c>
      <c r="F17" s="17">
        <f>F16*(10^7)/F8</f>
        <v>75344.184794740897</v>
      </c>
      <c r="G17" s="17">
        <f>G16*(10^7)/G8</f>
        <v>84376.05283504368</v>
      </c>
      <c r="H17" s="17">
        <f>H16*(10^7)/H8</f>
        <v>100291.56062959273</v>
      </c>
      <c r="I17" s="36">
        <f>H17*(1+I18)</f>
        <v>110320.71669255201</v>
      </c>
      <c r="J17" s="15">
        <f t="shared" ref="J17:M17" si="4">I17*(1+J18)</f>
        <v>119146.37402795619</v>
      </c>
      <c r="K17" s="15">
        <f t="shared" si="4"/>
        <v>126295.15646963357</v>
      </c>
      <c r="L17" s="15">
        <f t="shared" si="4"/>
        <v>133872.86585781159</v>
      </c>
      <c r="M17" s="15">
        <f t="shared" si="4"/>
        <v>141905.23780928028</v>
      </c>
    </row>
    <row r="18" spans="1:13" x14ac:dyDescent="0.25">
      <c r="A18" s="7"/>
      <c r="B18" t="s">
        <v>182</v>
      </c>
      <c r="E18" s="2"/>
      <c r="F18" s="34">
        <f>F17/E17-1</f>
        <v>8.9409037476993358E-2</v>
      </c>
      <c r="G18" s="34">
        <f>G17/F17-1</f>
        <v>0.11987478615513814</v>
      </c>
      <c r="H18" s="34">
        <f>H17/G17-1</f>
        <v>0.18862588684569159</v>
      </c>
      <c r="I18" s="32">
        <f>Assumptions!I8</f>
        <v>0.1</v>
      </c>
      <c r="J18" s="33">
        <f>Assumptions!J8</f>
        <v>0.08</v>
      </c>
      <c r="K18" s="33">
        <f>Assumptions!K8</f>
        <v>0.06</v>
      </c>
      <c r="L18" s="33">
        <f>Assumptions!L8</f>
        <v>0.06</v>
      </c>
      <c r="M18" s="33">
        <f>Assumptions!M8</f>
        <v>0.06</v>
      </c>
    </row>
    <row r="19" spans="1:13" x14ac:dyDescent="0.25">
      <c r="A19" s="7"/>
      <c r="E19" s="2"/>
      <c r="F19" s="3"/>
      <c r="G19" s="3"/>
      <c r="H19" s="2"/>
      <c r="I19" s="30"/>
      <c r="J19" s="8"/>
      <c r="K19" s="8"/>
      <c r="L19" s="8"/>
    </row>
    <row r="20" spans="1:13" x14ac:dyDescent="0.25">
      <c r="A20" s="7" t="s">
        <v>166</v>
      </c>
      <c r="E20" s="2">
        <v>12216</v>
      </c>
      <c r="F20" s="2">
        <v>12687.28</v>
      </c>
      <c r="G20" s="2">
        <v>16934</v>
      </c>
      <c r="H20" s="2">
        <f>'Income Statement'!H5-'Revenue Model'!H16</f>
        <v>13685.432000000001</v>
      </c>
      <c r="I20" s="36">
        <f>(I13*I21)/10^7</f>
        <v>14632.4638944</v>
      </c>
      <c r="J20" s="15">
        <f>(J13*J21)/10^7</f>
        <v>15969.871094348164</v>
      </c>
      <c r="K20" s="15">
        <f>(K13*K21)/10^7</f>
        <v>17858.308351254833</v>
      </c>
      <c r="L20" s="15">
        <f>(L13*L21)/10^7</f>
        <v>19876.29719494663</v>
      </c>
      <c r="M20" s="15">
        <f>(M13*M21)/10^7</f>
        <v>22122.318777975601</v>
      </c>
    </row>
    <row r="21" spans="1:13" x14ac:dyDescent="0.25">
      <c r="A21" s="7"/>
      <c r="B21" t="s">
        <v>181</v>
      </c>
      <c r="C21" s="7"/>
      <c r="E21" s="17">
        <f>E20*10^7/E13</f>
        <v>56266.279152781652</v>
      </c>
      <c r="F21" s="17">
        <f>F20*10^7/F13</f>
        <v>61761.219561230952</v>
      </c>
      <c r="G21" s="17">
        <f>G20*10^7/G13</f>
        <v>67556.947067492321</v>
      </c>
      <c r="H21" s="17">
        <f>H20*10^7/H13</f>
        <v>72538.99676195292</v>
      </c>
      <c r="I21" s="36">
        <f>H21*(1+I22)</f>
        <v>78342.116502909164</v>
      </c>
      <c r="J21" s="15">
        <f t="shared" ref="J21:M21" si="5">I21*(1+J22)</f>
        <v>83826.064658112809</v>
      </c>
      <c r="K21" s="15">
        <f t="shared" si="5"/>
        <v>89274.758860890142</v>
      </c>
      <c r="L21" s="15">
        <f t="shared" si="5"/>
        <v>94631.244392543551</v>
      </c>
      <c r="M21" s="15">
        <f t="shared" si="5"/>
        <v>100309.11905609617</v>
      </c>
    </row>
    <row r="22" spans="1:13" x14ac:dyDescent="0.25">
      <c r="A22" s="7"/>
      <c r="B22" t="s">
        <v>183</v>
      </c>
      <c r="E22" s="35"/>
      <c r="F22" s="33">
        <f>F21/E21-1</f>
        <v>9.765956610581461E-2</v>
      </c>
      <c r="G22" s="33">
        <f>G21/F21-1</f>
        <v>9.3840885064055524E-2</v>
      </c>
      <c r="H22" s="33">
        <f>H21/G21-1</f>
        <v>7.3745927113658905E-2</v>
      </c>
      <c r="I22" s="32">
        <f>Assumptions!I9</f>
        <v>0.08</v>
      </c>
      <c r="J22" s="33">
        <f>Assumptions!J9</f>
        <v>7.0000000000000007E-2</v>
      </c>
      <c r="K22" s="33">
        <f>Assumptions!K9</f>
        <v>6.5000000000000002E-2</v>
      </c>
      <c r="L22" s="33">
        <f>Assumptions!L9</f>
        <v>0.06</v>
      </c>
      <c r="M22" s="33">
        <f>Assumptions!M9</f>
        <v>0.06</v>
      </c>
    </row>
    <row r="23" spans="1:13" x14ac:dyDescent="0.25">
      <c r="A23" s="7"/>
    </row>
    <row r="24" spans="1:13" x14ac:dyDescent="0.25">
      <c r="A24" s="72"/>
      <c r="B24" s="92" t="s">
        <v>180</v>
      </c>
      <c r="C24" s="92"/>
      <c r="D24" s="45"/>
      <c r="E24" s="93">
        <f>E8+E13</f>
        <v>4614058</v>
      </c>
      <c r="F24" s="93">
        <f>F8+F13</f>
        <v>3971531</v>
      </c>
      <c r="G24" s="93">
        <f>G8+G13</f>
        <v>4308309</v>
      </c>
      <c r="H24" s="93">
        <f>H8+H13</f>
        <v>3933478</v>
      </c>
      <c r="I24" s="93">
        <f t="shared" ref="I24:M24" si="6">I8+I13</f>
        <v>4119296.39</v>
      </c>
      <c r="J24" s="93">
        <f t="shared" si="6"/>
        <v>4426835.4878000002</v>
      </c>
      <c r="K24" s="93">
        <f t="shared" si="6"/>
        <v>4723828.7273100009</v>
      </c>
      <c r="L24" s="93">
        <f t="shared" si="6"/>
        <v>4987254.6911187014</v>
      </c>
      <c r="M24" s="94">
        <f t="shared" si="6"/>
        <v>5236617.4256746359</v>
      </c>
    </row>
    <row r="25" spans="1:13" x14ac:dyDescent="0.25">
      <c r="A25" s="7"/>
    </row>
    <row r="28" spans="1:13" x14ac:dyDescent="0.25">
      <c r="A28" s="7"/>
      <c r="C28" s="7"/>
      <c r="E28" s="8"/>
      <c r="F28" s="8"/>
      <c r="G28" s="8"/>
      <c r="H28" s="8"/>
      <c r="I28" s="8"/>
      <c r="J28" s="8"/>
      <c r="K28" s="8"/>
      <c r="L28" s="8"/>
    </row>
    <row r="29" spans="1:13" x14ac:dyDescent="0.25">
      <c r="A29" s="7"/>
      <c r="I29" s="8"/>
      <c r="J29" s="8"/>
      <c r="K29" s="8"/>
      <c r="L29" s="8"/>
    </row>
    <row r="31" spans="1:13" x14ac:dyDescent="0.25">
      <c r="A31" t="s">
        <v>174</v>
      </c>
    </row>
    <row r="32" spans="1:13" x14ac:dyDescent="0.25">
      <c r="B32" t="s">
        <v>1</v>
      </c>
      <c r="E32" s="2">
        <v>11214640</v>
      </c>
      <c r="F32" s="2">
        <v>10019836</v>
      </c>
      <c r="G32" s="2">
        <v>8984186</v>
      </c>
    </row>
    <row r="33" spans="2:8" x14ac:dyDescent="0.25">
      <c r="B33" t="s">
        <v>148</v>
      </c>
      <c r="E33" s="2"/>
      <c r="F33" s="1">
        <f>F32/E32-1</f>
        <v>-0.1065396660080038</v>
      </c>
      <c r="G33" s="1">
        <f>G32/F32-1</f>
        <v>-0.10335997515328599</v>
      </c>
    </row>
    <row r="34" spans="2:8" x14ac:dyDescent="0.25">
      <c r="B34" t="s">
        <v>145</v>
      </c>
      <c r="E34" s="2">
        <v>2078136</v>
      </c>
      <c r="F34" s="2">
        <v>1807980</v>
      </c>
      <c r="G34" s="2">
        <v>1632897</v>
      </c>
    </row>
    <row r="35" spans="2:8" x14ac:dyDescent="0.25">
      <c r="B35" t="s">
        <v>147</v>
      </c>
      <c r="F35" s="1">
        <f>F34/E34-1</f>
        <v>-0.12999919158322648</v>
      </c>
      <c r="G35" s="1">
        <f>G34/F34-1</f>
        <v>-9.6839013705903865E-2</v>
      </c>
    </row>
    <row r="36" spans="2:8" x14ac:dyDescent="0.25">
      <c r="B36" t="s">
        <v>149</v>
      </c>
      <c r="E36" s="1">
        <f>E34/E32</f>
        <v>0.18530563620410465</v>
      </c>
      <c r="F36" s="1">
        <f t="shared" ref="F36:G36" si="7">F34/F32</f>
        <v>0.18044007905917822</v>
      </c>
      <c r="G36" s="1">
        <f t="shared" si="7"/>
        <v>0.18175235908962703</v>
      </c>
    </row>
    <row r="38" spans="2:8" x14ac:dyDescent="0.25">
      <c r="B38" t="s">
        <v>150</v>
      </c>
    </row>
    <row r="39" spans="2:8" x14ac:dyDescent="0.25">
      <c r="B39" t="s">
        <v>151</v>
      </c>
      <c r="F39" s="1"/>
    </row>
    <row r="40" spans="2:8" x14ac:dyDescent="0.25">
      <c r="B40" t="s">
        <v>1</v>
      </c>
      <c r="E40" s="13"/>
      <c r="F40" s="13">
        <f>F41/F42</f>
        <v>650296.05263157899</v>
      </c>
      <c r="G40" s="13">
        <f>G41/G42</f>
        <v>597682.35294117639</v>
      </c>
      <c r="H40" s="1"/>
    </row>
    <row r="41" spans="2:8" x14ac:dyDescent="0.25">
      <c r="B41" t="s">
        <v>145</v>
      </c>
      <c r="F41">
        <v>98845</v>
      </c>
      <c r="G41">
        <v>101606</v>
      </c>
    </row>
    <row r="42" spans="2:8" x14ac:dyDescent="0.25">
      <c r="B42" t="s">
        <v>152</v>
      </c>
      <c r="F42" s="1">
        <v>0.152</v>
      </c>
      <c r="G42" s="4">
        <v>0.17</v>
      </c>
    </row>
    <row r="44" spans="2:8" x14ac:dyDescent="0.25">
      <c r="B44" t="s">
        <v>153</v>
      </c>
      <c r="G44" s="4"/>
    </row>
    <row r="45" spans="2:8" x14ac:dyDescent="0.25">
      <c r="B45" t="s">
        <v>1</v>
      </c>
      <c r="F45" s="13">
        <f>G45/(1-0.19)</f>
        <v>186277.77777777775</v>
      </c>
      <c r="G45">
        <v>150885</v>
      </c>
    </row>
    <row r="46" spans="2:8" x14ac:dyDescent="0.25">
      <c r="B46" t="s">
        <v>154</v>
      </c>
      <c r="F46">
        <v>51820</v>
      </c>
      <c r="G46">
        <v>34469</v>
      </c>
    </row>
    <row r="47" spans="2:8" x14ac:dyDescent="0.25">
      <c r="B47" t="s">
        <v>152</v>
      </c>
      <c r="F47" s="4">
        <v>0.28000000000000003</v>
      </c>
      <c r="G47" s="4">
        <f>G46/G45</f>
        <v>0.22844550485469065</v>
      </c>
    </row>
    <row r="49" spans="2:7" x14ac:dyDescent="0.25">
      <c r="B49" t="s">
        <v>155</v>
      </c>
    </row>
    <row r="50" spans="2:7" x14ac:dyDescent="0.25">
      <c r="B50" t="s">
        <v>156</v>
      </c>
    </row>
    <row r="51" spans="2:7" x14ac:dyDescent="0.25">
      <c r="B51" t="s">
        <v>157</v>
      </c>
      <c r="E51" s="2">
        <v>525015</v>
      </c>
      <c r="F51" s="2">
        <v>134087</v>
      </c>
      <c r="G51" s="2">
        <v>183607</v>
      </c>
    </row>
    <row r="52" spans="2:7" x14ac:dyDescent="0.25">
      <c r="B52" t="s">
        <v>158</v>
      </c>
      <c r="E52" s="2">
        <v>334714</v>
      </c>
      <c r="F52" s="2">
        <v>81618</v>
      </c>
      <c r="G52" s="2">
        <v>130172</v>
      </c>
    </row>
    <row r="53" spans="2:7" x14ac:dyDescent="0.25">
      <c r="B53" t="s">
        <v>159</v>
      </c>
      <c r="E53" s="1">
        <f>E52/E51</f>
        <v>0.63753226098301952</v>
      </c>
      <c r="F53" s="1">
        <f t="shared" ref="F53:G53" si="8">F52/F51</f>
        <v>0.60869435515747239</v>
      </c>
      <c r="G53" s="1">
        <f t="shared" si="8"/>
        <v>0.70897079087398629</v>
      </c>
    </row>
    <row r="55" spans="2:7" x14ac:dyDescent="0.25">
      <c r="B55" t="s">
        <v>160</v>
      </c>
    </row>
    <row r="56" spans="2:7" x14ac:dyDescent="0.25">
      <c r="B56" t="s">
        <v>157</v>
      </c>
      <c r="E56" s="2">
        <v>111554</v>
      </c>
      <c r="F56" s="2">
        <v>82110</v>
      </c>
      <c r="G56" s="2">
        <v>77388</v>
      </c>
    </row>
    <row r="57" spans="2:7" x14ac:dyDescent="0.25">
      <c r="B57" t="s">
        <v>158</v>
      </c>
      <c r="E57" s="2">
        <v>30103</v>
      </c>
      <c r="F57" s="2">
        <v>27686</v>
      </c>
      <c r="G57" s="2">
        <v>30427</v>
      </c>
    </row>
    <row r="58" spans="2:7" x14ac:dyDescent="0.25">
      <c r="B58" t="s">
        <v>159</v>
      </c>
      <c r="E58" s="1">
        <f>E57/E56</f>
        <v>0.26985137242949603</v>
      </c>
      <c r="F58" s="1">
        <f t="shared" ref="F58:G58" si="9">F57/F56</f>
        <v>0.33718182925344048</v>
      </c>
      <c r="G58" s="1">
        <f t="shared" si="9"/>
        <v>0.393174652400889</v>
      </c>
    </row>
    <row r="60" spans="2:7" x14ac:dyDescent="0.25">
      <c r="B60" t="s">
        <v>161</v>
      </c>
    </row>
    <row r="61" spans="2:7" x14ac:dyDescent="0.25">
      <c r="B61" t="s">
        <v>157</v>
      </c>
      <c r="E61" s="2">
        <f>E51+E56</f>
        <v>636569</v>
      </c>
      <c r="F61" s="2">
        <f t="shared" ref="F61:G61" si="10">F51+F56</f>
        <v>216197</v>
      </c>
      <c r="G61" s="2">
        <f t="shared" si="10"/>
        <v>260995</v>
      </c>
    </row>
    <row r="62" spans="2:7" x14ac:dyDescent="0.25">
      <c r="B62" t="s">
        <v>158</v>
      </c>
      <c r="E62" s="2">
        <f>E52+E57</f>
        <v>364817</v>
      </c>
      <c r="F62" s="2">
        <f t="shared" ref="F62:G62" si="11">F52+F57</f>
        <v>109304</v>
      </c>
      <c r="G62" s="2">
        <f t="shared" si="11"/>
        <v>160599</v>
      </c>
    </row>
    <row r="63" spans="2:7" x14ac:dyDescent="0.25">
      <c r="B63" t="s">
        <v>159</v>
      </c>
      <c r="E63" s="1">
        <f>E62/E61</f>
        <v>0.57309890993749302</v>
      </c>
      <c r="F63" s="1">
        <f t="shared" ref="F63:G63" si="12">F62/F61</f>
        <v>0.50557593306105075</v>
      </c>
      <c r="G63" s="1">
        <f t="shared" si="12"/>
        <v>0.61533362708097861</v>
      </c>
    </row>
    <row r="64" spans="2:7" x14ac:dyDescent="0.25">
      <c r="E64" s="1"/>
      <c r="F64" s="1"/>
      <c r="G64" s="1"/>
    </row>
    <row r="65" spans="2:8" x14ac:dyDescent="0.25">
      <c r="B65" t="s">
        <v>3</v>
      </c>
      <c r="G65" s="2">
        <v>8187</v>
      </c>
      <c r="H65">
        <v>10000</v>
      </c>
    </row>
  </sheetData>
  <pageMargins left="0.7" right="0.7" top="0.75" bottom="0.75" header="0.3" footer="0.3"/>
  <pageSetup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2B1CBE-ACFE-4C80-B64E-B8B78F81DBD2}">
  <dimension ref="A1:O31"/>
  <sheetViews>
    <sheetView showGridLines="0" zoomScale="110" zoomScaleNormal="110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O7" sqref="O7"/>
    </sheetView>
  </sheetViews>
  <sheetFormatPr defaultRowHeight="15" x14ac:dyDescent="0.25"/>
  <cols>
    <col min="1" max="1" width="3.140625" customWidth="1"/>
    <col min="2" max="2" width="3.5703125" customWidth="1"/>
    <col min="3" max="3" width="39.140625" customWidth="1"/>
    <col min="4" max="4" width="4.42578125" customWidth="1"/>
    <col min="5" max="5" width="9.140625" customWidth="1"/>
  </cols>
  <sheetData>
    <row r="1" spans="1:15" ht="18.75" x14ac:dyDescent="0.3">
      <c r="A1" s="5" t="s">
        <v>61</v>
      </c>
    </row>
    <row r="2" spans="1:15" x14ac:dyDescent="0.25">
      <c r="A2" s="6" t="s">
        <v>7</v>
      </c>
    </row>
    <row r="3" spans="1:15" x14ac:dyDescent="0.25">
      <c r="A3" s="7" t="s">
        <v>8</v>
      </c>
      <c r="C3" s="7"/>
      <c r="E3" s="8" t="s">
        <v>143</v>
      </c>
      <c r="F3" s="8" t="s">
        <v>15</v>
      </c>
      <c r="G3" s="8" t="s">
        <v>14</v>
      </c>
      <c r="H3" s="8" t="s">
        <v>9</v>
      </c>
      <c r="I3" s="8" t="s">
        <v>13</v>
      </c>
      <c r="J3" s="8" t="s">
        <v>12</v>
      </c>
      <c r="K3" s="8" t="s">
        <v>11</v>
      </c>
      <c r="L3" s="8" t="s">
        <v>10</v>
      </c>
      <c r="M3" s="8" t="s">
        <v>195</v>
      </c>
    </row>
    <row r="5" spans="1:15" x14ac:dyDescent="0.25">
      <c r="B5" t="s">
        <v>62</v>
      </c>
      <c r="E5" s="9">
        <v>29111.54</v>
      </c>
      <c r="F5" s="9">
        <v>27132.9</v>
      </c>
      <c r="G5" s="9">
        <v>32135.98</v>
      </c>
      <c r="H5">
        <v>34213.58</v>
      </c>
      <c r="I5" s="12">
        <f>'Revenue Model'!I16+'Revenue Model'!I20</f>
        <v>39471.522974400003</v>
      </c>
      <c r="J5" s="12">
        <f>'Revenue Model'!J16+'Revenue Model'!J20</f>
        <v>46015.196957516178</v>
      </c>
      <c r="K5" s="12">
        <f>'Revenue Model'!K16+'Revenue Model'!K20</f>
        <v>52254.197399409582</v>
      </c>
      <c r="L5" s="12">
        <f>'Revenue Model'!L16+'Revenue Model'!L20</f>
        <v>58523.51812945331</v>
      </c>
      <c r="M5" s="12">
        <f>'Revenue Model'!M16+'Revenue Model'!M20</f>
        <v>65136.675678081534</v>
      </c>
    </row>
    <row r="6" spans="1:15" x14ac:dyDescent="0.25">
      <c r="B6" t="s">
        <v>63</v>
      </c>
      <c r="E6">
        <v>807.11</v>
      </c>
      <c r="F6">
        <v>608.17999999999995</v>
      </c>
      <c r="G6" s="9">
        <v>1008.73</v>
      </c>
      <c r="H6">
        <v>990.52</v>
      </c>
      <c r="I6">
        <f>I5*Assumptions!I10</f>
        <v>1088.8266802727978</v>
      </c>
      <c r="J6">
        <f>J5*Assumptions!J10</f>
        <v>1348.6383009068388</v>
      </c>
      <c r="K6">
        <f>K5*Assumptions!K10</f>
        <v>1495.2492982852061</v>
      </c>
      <c r="L6">
        <f>L5*Assumptions!L10</f>
        <v>1668.0875189741409</v>
      </c>
      <c r="M6">
        <f>M5*Assumptions!M10</f>
        <v>1876.5075494892537</v>
      </c>
    </row>
    <row r="7" spans="1:15" s="7" customFormat="1" x14ac:dyDescent="0.25">
      <c r="B7" s="7" t="s">
        <v>64</v>
      </c>
      <c r="E7" s="7">
        <f>SUM(E5:E6)</f>
        <v>29918.65</v>
      </c>
      <c r="F7" s="7">
        <f>SUM(F5:F6)</f>
        <v>27741.08</v>
      </c>
      <c r="G7" s="11">
        <f>SUM(G5:G6)</f>
        <v>33144.71</v>
      </c>
      <c r="H7" s="11">
        <f>SUM(H5:H6)</f>
        <v>35204.1</v>
      </c>
      <c r="I7" s="11">
        <f t="shared" ref="I7:M7" si="0">SUM(I5:I6)</f>
        <v>40560.349654672798</v>
      </c>
      <c r="J7" s="11">
        <f t="shared" si="0"/>
        <v>47363.835258423016</v>
      </c>
      <c r="K7" s="11">
        <f t="shared" si="0"/>
        <v>53749.446697694788</v>
      </c>
      <c r="L7" s="11">
        <f t="shared" si="0"/>
        <v>60191.605648427452</v>
      </c>
      <c r="M7" s="11">
        <f t="shared" si="0"/>
        <v>67013.183227570786</v>
      </c>
      <c r="O7" s="18"/>
    </row>
    <row r="8" spans="1:15" x14ac:dyDescent="0.25">
      <c r="B8" t="s">
        <v>190</v>
      </c>
      <c r="D8" t="str">
        <f>"Includes " &amp; "Cost of raw materials and components consumed,Purchase of traded goods,Changes in inventories of finished goods, work-in-progress and traded goods"</f>
        <v>Includes Cost of raw materials and components consumed,Purchase of traded goods,Changes in inventories of finished goods, work-in-progress and traded goods</v>
      </c>
      <c r="E8" s="9">
        <v>21008.280000000002</v>
      </c>
      <c r="F8" s="9">
        <v>19609.650000000001</v>
      </c>
      <c r="G8" s="9">
        <v>24329.82</v>
      </c>
      <c r="H8" s="9">
        <v>25742.840000000004</v>
      </c>
      <c r="I8">
        <f>I5*Assumptions!I11</f>
        <v>28863.373882198481</v>
      </c>
      <c r="J8">
        <f>J5*Assumptions!J11</f>
        <v>32210.637870261322</v>
      </c>
      <c r="K8">
        <f>K5*Assumptions!K11</f>
        <v>36577.938179586708</v>
      </c>
      <c r="L8">
        <f>L5*Assumptions!L11</f>
        <v>40966.462690617314</v>
      </c>
      <c r="M8">
        <f>M5*Assumptions!M11</f>
        <v>45595.672974657071</v>
      </c>
    </row>
    <row r="9" spans="1:15" x14ac:dyDescent="0.25">
      <c r="A9" s="20" t="s">
        <v>177</v>
      </c>
      <c r="B9" s="20"/>
      <c r="C9" s="20"/>
      <c r="D9" s="20"/>
      <c r="E9" s="81">
        <f>E7-E8</f>
        <v>8910.369999999999</v>
      </c>
      <c r="F9" s="81">
        <f>F7-F8</f>
        <v>8131.43</v>
      </c>
      <c r="G9" s="81">
        <f>G7-G8</f>
        <v>8814.89</v>
      </c>
      <c r="H9" s="81">
        <f>H7-H8</f>
        <v>9461.2599999999948</v>
      </c>
      <c r="I9" s="82">
        <f>I7-I8</f>
        <v>11696.975772474318</v>
      </c>
      <c r="J9" s="82">
        <f t="shared" ref="J9:M9" si="1">J7-J8</f>
        <v>15153.197388161694</v>
      </c>
      <c r="K9" s="82">
        <f t="shared" si="1"/>
        <v>17171.508518108079</v>
      </c>
      <c r="L9" s="82">
        <f t="shared" si="1"/>
        <v>19225.142957810138</v>
      </c>
      <c r="M9" s="82">
        <f t="shared" si="1"/>
        <v>21417.510252913715</v>
      </c>
    </row>
    <row r="10" spans="1:15" x14ac:dyDescent="0.25">
      <c r="B10" t="s">
        <v>65</v>
      </c>
      <c r="E10" s="9">
        <v>1390.81</v>
      </c>
      <c r="F10" s="9">
        <v>1288.0999999999999</v>
      </c>
      <c r="G10" s="9">
        <v>1362.79</v>
      </c>
      <c r="H10">
        <v>1391.03</v>
      </c>
      <c r="I10">
        <f>I5*Assumptions!I12</f>
        <v>1578.8609189760002</v>
      </c>
      <c r="J10">
        <f>J5*Assumptions!J12</f>
        <v>1840.6078783006471</v>
      </c>
      <c r="K10">
        <f>K5*Assumptions!K12</f>
        <v>2090.1678959763835</v>
      </c>
      <c r="L10">
        <f>L5*Assumptions!L12</f>
        <v>2340.9407251781327</v>
      </c>
      <c r="M10">
        <f>M5*Assumptions!M12</f>
        <v>2605.4670271232612</v>
      </c>
    </row>
    <row r="11" spans="1:15" x14ac:dyDescent="0.25">
      <c r="B11" t="s">
        <v>66</v>
      </c>
      <c r="E11" s="9">
        <v>2453.89</v>
      </c>
      <c r="F11" s="9">
        <v>1930.92</v>
      </c>
      <c r="G11" s="9">
        <v>2215.4899999999998</v>
      </c>
      <c r="H11">
        <v>2316.6099999999997</v>
      </c>
      <c r="I11">
        <f>I5*Assumptions!I13</f>
        <v>2734.2794783137924</v>
      </c>
      <c r="J11">
        <f>J5*Assumptions!J13</f>
        <v>3158.537731072277</v>
      </c>
      <c r="K11">
        <f>K5*Assumptions!K13</f>
        <v>3581.5661159887118</v>
      </c>
      <c r="L11">
        <f>L5*Assumptions!L13</f>
        <v>4027.4833083800695</v>
      </c>
      <c r="M11">
        <f>M5*Assumptions!M13</f>
        <v>4472.7314868261255</v>
      </c>
    </row>
    <row r="12" spans="1:15" s="7" customFormat="1" x14ac:dyDescent="0.25">
      <c r="A12" s="20" t="s">
        <v>81</v>
      </c>
      <c r="B12" s="20"/>
      <c r="C12" s="20"/>
      <c r="D12" s="20"/>
      <c r="E12" s="81">
        <f>E9-SUM(E10:E11)</f>
        <v>5065.6699999999992</v>
      </c>
      <c r="F12" s="81">
        <f t="shared" ref="F12:L12" si="2">F9-SUM(F10:F11)</f>
        <v>4912.41</v>
      </c>
      <c r="G12" s="81">
        <f t="shared" si="2"/>
        <v>5236.6099999999997</v>
      </c>
      <c r="H12" s="81">
        <f t="shared" si="2"/>
        <v>5753.6199999999953</v>
      </c>
      <c r="I12" s="81">
        <f t="shared" si="2"/>
        <v>7383.8353751845252</v>
      </c>
      <c r="J12" s="81">
        <f t="shared" si="2"/>
        <v>10154.051778788769</v>
      </c>
      <c r="K12" s="81">
        <f t="shared" si="2"/>
        <v>11499.774506142985</v>
      </c>
      <c r="L12" s="81">
        <f t="shared" si="2"/>
        <v>12856.718924251936</v>
      </c>
      <c r="M12" s="81">
        <f t="shared" ref="M12" si="3">M9-SUM(M10:M11)</f>
        <v>14339.311738964328</v>
      </c>
    </row>
    <row r="13" spans="1:15" x14ac:dyDescent="0.25">
      <c r="B13" t="s">
        <v>67</v>
      </c>
      <c r="E13">
        <v>246.43</v>
      </c>
      <c r="F13">
        <v>259.37</v>
      </c>
      <c r="G13">
        <v>269.76</v>
      </c>
      <c r="H13" s="9">
        <v>274.83999999999997</v>
      </c>
      <c r="I13">
        <f>Capex!I16</f>
        <v>287.79840000000002</v>
      </c>
      <c r="J13">
        <f>Capex!J16</f>
        <v>308.79840000000002</v>
      </c>
      <c r="K13">
        <f>Capex!K16</f>
        <v>329.79840000000002</v>
      </c>
      <c r="L13">
        <f>Capex!L16</f>
        <v>353.79840000000002</v>
      </c>
      <c r="M13">
        <f>Capex!M16</f>
        <v>379.29840000000002</v>
      </c>
    </row>
    <row r="14" spans="1:15" s="7" customFormat="1" x14ac:dyDescent="0.25">
      <c r="A14" s="20" t="s">
        <v>191</v>
      </c>
      <c r="B14" s="20"/>
      <c r="C14" s="20"/>
      <c r="D14" s="20"/>
      <c r="E14" s="81">
        <f>E12-E13</f>
        <v>4819.2399999999989</v>
      </c>
      <c r="F14" s="81">
        <f>F12-F13</f>
        <v>4653.04</v>
      </c>
      <c r="G14" s="81">
        <f>G12-G13</f>
        <v>4966.8499999999995</v>
      </c>
      <c r="H14" s="81">
        <f>H12-H13</f>
        <v>5478.7799999999952</v>
      </c>
      <c r="I14" s="81">
        <f t="shared" ref="I14:M14" si="4">I12-I13</f>
        <v>7096.0369751845255</v>
      </c>
      <c r="J14" s="81">
        <f t="shared" si="4"/>
        <v>9845.2533787887696</v>
      </c>
      <c r="K14" s="81">
        <f t="shared" si="4"/>
        <v>11169.976106142985</v>
      </c>
      <c r="L14" s="81">
        <f t="shared" si="4"/>
        <v>12502.920524251937</v>
      </c>
      <c r="M14" s="81">
        <f t="shared" si="4"/>
        <v>13960.013338964329</v>
      </c>
    </row>
    <row r="15" spans="1:15" x14ac:dyDescent="0.25">
      <c r="B15" t="s">
        <v>68</v>
      </c>
      <c r="E15">
        <v>3.16</v>
      </c>
      <c r="F15">
        <v>6.66</v>
      </c>
      <c r="G15">
        <v>8.66</v>
      </c>
      <c r="H15" s="9">
        <v>19.93</v>
      </c>
      <c r="I15" s="9">
        <f>I5*Assumptions!I15</f>
        <v>14.439414365009387</v>
      </c>
      <c r="J15" s="9">
        <f>J5*Assumptions!J15</f>
        <v>18.679342171632022</v>
      </c>
      <c r="K15" s="9">
        <f>K5*Assumptions!K15</f>
        <v>23.588838994069096</v>
      </c>
      <c r="L15" s="9">
        <f>L5*Assumptions!L15</f>
        <v>23.861634900078677</v>
      </c>
      <c r="M15" s="9">
        <f>M5*Assumptions!M15</f>
        <v>27.467931957004048</v>
      </c>
    </row>
    <row r="16" spans="1:15" x14ac:dyDescent="0.25">
      <c r="B16" t="s">
        <v>69</v>
      </c>
      <c r="E16">
        <v>-29.97</v>
      </c>
      <c r="F16">
        <v>-12.27</v>
      </c>
      <c r="G16">
        <v>-13.31</v>
      </c>
      <c r="H16">
        <v>-14.29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3" x14ac:dyDescent="0.25">
      <c r="B17" t="s">
        <v>70</v>
      </c>
      <c r="E17" s="9">
        <v>1524.57</v>
      </c>
      <c r="F17" s="9">
        <v>1276.46</v>
      </c>
      <c r="G17" s="9">
        <v>1284.1400000000001</v>
      </c>
      <c r="H17" s="9">
        <v>1290.0100000000002</v>
      </c>
      <c r="I17">
        <f>I5*Assumptions!I14</f>
        <v>1381.5033041040001</v>
      </c>
      <c r="J17">
        <f>J5*Assumptions!J14</f>
        <v>1380.4559087254852</v>
      </c>
      <c r="K17">
        <f>K5*Assumptions!K14</f>
        <v>1567.6259219822873</v>
      </c>
      <c r="L17">
        <f>L5*Assumptions!L14</f>
        <v>1755.7055438835991</v>
      </c>
      <c r="M17">
        <f>M5*Assumptions!M14</f>
        <v>1954.100270342446</v>
      </c>
    </row>
    <row r="18" spans="1:13" s="7" customFormat="1" x14ac:dyDescent="0.25">
      <c r="A18" s="20" t="s">
        <v>71</v>
      </c>
      <c r="B18" s="20"/>
      <c r="C18" s="20"/>
      <c r="D18" s="20"/>
      <c r="E18" s="81">
        <f>E14-E15-E16+E17</f>
        <v>6370.619999999999</v>
      </c>
      <c r="F18" s="81">
        <f>F14-F15-F16+F17</f>
        <v>5935.1100000000006</v>
      </c>
      <c r="G18" s="81">
        <f>G14-G15-G16+G17</f>
        <v>6255.64</v>
      </c>
      <c r="H18" s="81">
        <f>H14-H15-H16+H17</f>
        <v>6763.1499999999951</v>
      </c>
      <c r="I18" s="81">
        <f t="shared" ref="I18:M18" si="5">I14-I15-I16+I17</f>
        <v>8463.1008649235155</v>
      </c>
      <c r="J18" s="81">
        <f t="shared" si="5"/>
        <v>11207.029945342623</v>
      </c>
      <c r="K18" s="81">
        <f t="shared" si="5"/>
        <v>12714.013189131205</v>
      </c>
      <c r="L18" s="81">
        <f t="shared" si="5"/>
        <v>14234.764433235458</v>
      </c>
      <c r="M18" s="81">
        <f t="shared" si="5"/>
        <v>15886.64567734977</v>
      </c>
    </row>
    <row r="19" spans="1:13" x14ac:dyDescent="0.25">
      <c r="B19" t="s">
        <v>72</v>
      </c>
      <c r="E19">
        <v>321.51</v>
      </c>
      <c r="F19">
        <v>306.32</v>
      </c>
      <c r="G19">
        <v>579.53</v>
      </c>
      <c r="H19">
        <v>401.43999999999994</v>
      </c>
      <c r="I19">
        <f>H19*(1+Assumptions!I17)</f>
        <v>401.43999999999994</v>
      </c>
      <c r="J19">
        <f>I19*(1+Assumptions!J17)</f>
        <v>421.51199999999994</v>
      </c>
      <c r="K19">
        <f>J19*(1+Assumptions!K17)</f>
        <v>434.15735999999993</v>
      </c>
      <c r="L19">
        <f>K19*(1+Assumptions!L17)</f>
        <v>447.18208079999994</v>
      </c>
      <c r="M19">
        <f>L19*(1+Assumptions!M17)</f>
        <v>460.59754322399993</v>
      </c>
    </row>
    <row r="20" spans="1:13" s="7" customFormat="1" x14ac:dyDescent="0.25">
      <c r="A20" s="20" t="s">
        <v>73</v>
      </c>
      <c r="B20" s="20"/>
      <c r="C20" s="20"/>
      <c r="D20" s="20"/>
      <c r="E20" s="81">
        <f>E18+E19</f>
        <v>6692.1299999999992</v>
      </c>
      <c r="F20" s="81">
        <f>F18+F19</f>
        <v>6241.43</v>
      </c>
      <c r="G20" s="81">
        <f>G18+G19</f>
        <v>6835.17</v>
      </c>
      <c r="H20" s="81">
        <f>H18+H19</f>
        <v>7164.5899999999947</v>
      </c>
      <c r="I20" s="81">
        <f t="shared" ref="I20:M20" si="6">I18+I19</f>
        <v>8864.540864923516</v>
      </c>
      <c r="J20" s="81">
        <f t="shared" si="6"/>
        <v>11628.541945342624</v>
      </c>
      <c r="K20" s="81">
        <f t="shared" si="6"/>
        <v>13148.170549131204</v>
      </c>
      <c r="L20" s="81">
        <f t="shared" si="6"/>
        <v>14681.946514035457</v>
      </c>
      <c r="M20" s="81">
        <f t="shared" si="6"/>
        <v>16347.24322057377</v>
      </c>
    </row>
    <row r="21" spans="1:13" x14ac:dyDescent="0.25">
      <c r="B21" t="s">
        <v>74</v>
      </c>
      <c r="E21">
        <v>0</v>
      </c>
      <c r="F21" s="9">
        <v>0</v>
      </c>
      <c r="G21">
        <v>-816.51</v>
      </c>
      <c r="H21">
        <v>-315.27999999999997</v>
      </c>
      <c r="I21">
        <v>0</v>
      </c>
      <c r="J21">
        <v>0</v>
      </c>
      <c r="K21">
        <v>0</v>
      </c>
      <c r="L21">
        <v>0</v>
      </c>
    </row>
    <row r="22" spans="1:13" s="7" customFormat="1" x14ac:dyDescent="0.25">
      <c r="A22" s="20" t="s">
        <v>75</v>
      </c>
      <c r="B22" s="20"/>
      <c r="C22" s="20"/>
      <c r="D22" s="20"/>
      <c r="E22" s="81">
        <f>E20-E21</f>
        <v>6692.1299999999992</v>
      </c>
      <c r="F22" s="81">
        <f>F20-F21</f>
        <v>6241.43</v>
      </c>
      <c r="G22" s="81">
        <f>G20-G21</f>
        <v>7651.68</v>
      </c>
      <c r="H22" s="81">
        <f>H20-H21</f>
        <v>7479.8699999999944</v>
      </c>
      <c r="I22" s="81">
        <f t="shared" ref="I22:K22" si="7">I20-I21</f>
        <v>8864.540864923516</v>
      </c>
      <c r="J22" s="81">
        <f t="shared" si="7"/>
        <v>11628.541945342624</v>
      </c>
      <c r="K22" s="81">
        <f t="shared" si="7"/>
        <v>13148.170549131204</v>
      </c>
      <c r="L22" s="81">
        <f t="shared" ref="L22" si="8">L20-L21</f>
        <v>14681.946514035457</v>
      </c>
      <c r="M22" s="81">
        <f t="shared" ref="M22" si="9">M20-M21</f>
        <v>16347.24322057377</v>
      </c>
    </row>
    <row r="23" spans="1:13" x14ac:dyDescent="0.25">
      <c r="A23" t="s">
        <v>76</v>
      </c>
    </row>
    <row r="24" spans="1:13" x14ac:dyDescent="0.25">
      <c r="B24" t="s">
        <v>77</v>
      </c>
      <c r="E24" s="9">
        <v>1547.26</v>
      </c>
      <c r="F24" s="9">
        <v>1348.1</v>
      </c>
      <c r="G24" s="9">
        <v>1667.11</v>
      </c>
      <c r="H24">
        <v>1776.6999999999998</v>
      </c>
      <c r="I24">
        <f>I18*Assumptions!I16</f>
        <v>2115.7752162308789</v>
      </c>
      <c r="J24">
        <f>J18*Assumptions!J16</f>
        <v>2801.7574863356558</v>
      </c>
      <c r="K24">
        <f>K18*Assumptions!K16</f>
        <v>3178.5032972828012</v>
      </c>
      <c r="L24">
        <f>L18*Assumptions!L16</f>
        <v>3558.6911083088644</v>
      </c>
      <c r="M24">
        <f>M18*Assumptions!M16</f>
        <v>3971.6614193374426</v>
      </c>
    </row>
    <row r="25" spans="1:13" x14ac:dyDescent="0.25">
      <c r="B25" t="s">
        <v>78</v>
      </c>
      <c r="E25">
        <v>-67.040000000000006</v>
      </c>
      <c r="F25">
        <v>36.31</v>
      </c>
      <c r="G25">
        <v>-181.3</v>
      </c>
      <c r="H25">
        <v>-135.44000000000003</v>
      </c>
      <c r="I25">
        <v>0</v>
      </c>
      <c r="J25">
        <v>0</v>
      </c>
      <c r="K25">
        <v>0</v>
      </c>
      <c r="L25">
        <v>0</v>
      </c>
      <c r="M25">
        <v>0</v>
      </c>
    </row>
    <row r="26" spans="1:13" s="7" customFormat="1" ht="15.75" thickBot="1" x14ac:dyDescent="0.3">
      <c r="B26" s="7" t="s">
        <v>79</v>
      </c>
      <c r="E26" s="11">
        <f>SUM(E24:E25)</f>
        <v>1480.22</v>
      </c>
      <c r="F26" s="11">
        <f>SUM(F24:F25)</f>
        <v>1384.4099999999999</v>
      </c>
      <c r="G26" s="11">
        <f>SUM(G24:G25)</f>
        <v>1485.81</v>
      </c>
      <c r="H26" s="11">
        <f>SUM(H24:H25)</f>
        <v>1641.2599999999998</v>
      </c>
      <c r="I26" s="11">
        <f t="shared" ref="I26:M26" si="10">SUM(I24:I25)</f>
        <v>2115.7752162308789</v>
      </c>
      <c r="J26" s="11">
        <f t="shared" si="10"/>
        <v>2801.7574863356558</v>
      </c>
      <c r="K26" s="11">
        <f t="shared" si="10"/>
        <v>3178.5032972828012</v>
      </c>
      <c r="L26" s="11">
        <f t="shared" si="10"/>
        <v>3558.6911083088644</v>
      </c>
      <c r="M26" s="11">
        <f t="shared" si="10"/>
        <v>3971.6614193374426</v>
      </c>
    </row>
    <row r="27" spans="1:13" s="7" customFormat="1" ht="15.75" thickTop="1" x14ac:dyDescent="0.25">
      <c r="A27" s="83" t="s">
        <v>80</v>
      </c>
      <c r="B27" s="83"/>
      <c r="C27" s="83"/>
      <c r="D27" s="83"/>
      <c r="E27" s="84">
        <f>E22-E26</f>
        <v>5211.9099999999989</v>
      </c>
      <c r="F27" s="84">
        <f>F22-F26</f>
        <v>4857.0200000000004</v>
      </c>
      <c r="G27" s="84">
        <f>G22-G26</f>
        <v>6165.8700000000008</v>
      </c>
      <c r="H27" s="84">
        <f>H22-H26</f>
        <v>5838.6099999999951</v>
      </c>
      <c r="I27" s="84">
        <f t="shared" ref="I27:M27" si="11">I22-I26</f>
        <v>6748.7656486926371</v>
      </c>
      <c r="J27" s="84">
        <f t="shared" si="11"/>
        <v>8826.784459006969</v>
      </c>
      <c r="K27" s="84">
        <f t="shared" si="11"/>
        <v>9969.6672518484029</v>
      </c>
      <c r="L27" s="84">
        <f t="shared" si="11"/>
        <v>11123.255405726592</v>
      </c>
      <c r="M27" s="84">
        <f t="shared" si="11"/>
        <v>12375.581801236327</v>
      </c>
    </row>
    <row r="28" spans="1:13" x14ac:dyDescent="0.25">
      <c r="I28" s="9"/>
    </row>
    <row r="31" spans="1:13" x14ac:dyDescent="0.25">
      <c r="I31" s="9"/>
    </row>
  </sheetData>
  <pageMargins left="0.7" right="0.7" top="0.75" bottom="0.75" header="0.3" footer="0.3"/>
  <pageSetup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9CA8F-EF21-4B3F-8411-2A280B7B2226}">
  <dimension ref="A1:R62"/>
  <sheetViews>
    <sheetView showGridLines="0" workbookViewId="0">
      <pane xSplit="3" ySplit="3" topLeftCell="D45" activePane="bottomRight" state="frozen"/>
      <selection pane="topRight" activeCell="D1" sqref="D1"/>
      <selection pane="bottomLeft" activeCell="A4" sqref="A4"/>
      <selection pane="bottomRight" activeCell="J62" sqref="J62"/>
    </sheetView>
  </sheetViews>
  <sheetFormatPr defaultRowHeight="15" x14ac:dyDescent="0.25"/>
  <cols>
    <col min="1" max="1" width="4.28515625" customWidth="1"/>
    <col min="2" max="2" width="4.140625" customWidth="1"/>
    <col min="3" max="3" width="29.7109375" customWidth="1"/>
    <col min="4" max="4" width="4.42578125" customWidth="1"/>
    <col min="5" max="7" width="9.140625" bestFit="1" customWidth="1"/>
    <col min="9" max="10" width="12" bestFit="1" customWidth="1"/>
    <col min="11" max="11" width="12.7109375" bestFit="1" customWidth="1"/>
    <col min="12" max="13" width="12" bestFit="1" customWidth="1"/>
    <col min="15" max="15" width="12.7109375" customWidth="1"/>
  </cols>
  <sheetData>
    <row r="1" spans="1:16" ht="18.75" x14ac:dyDescent="0.3">
      <c r="A1" s="5" t="s">
        <v>6</v>
      </c>
    </row>
    <row r="2" spans="1:16" x14ac:dyDescent="0.25">
      <c r="A2" s="6" t="s">
        <v>7</v>
      </c>
    </row>
    <row r="3" spans="1:16" x14ac:dyDescent="0.25">
      <c r="A3" s="7" t="s">
        <v>8</v>
      </c>
      <c r="C3" s="7"/>
      <c r="E3" s="8" t="s">
        <v>143</v>
      </c>
      <c r="F3" s="8" t="s">
        <v>15</v>
      </c>
      <c r="G3" s="8" t="s">
        <v>14</v>
      </c>
      <c r="H3" s="8" t="s">
        <v>9</v>
      </c>
      <c r="I3" s="8" t="s">
        <v>13</v>
      </c>
      <c r="J3" s="8" t="s">
        <v>12</v>
      </c>
      <c r="K3" s="8" t="s">
        <v>11</v>
      </c>
      <c r="L3" s="8" t="s">
        <v>10</v>
      </c>
      <c r="M3" s="8" t="s">
        <v>195</v>
      </c>
    </row>
    <row r="4" spans="1:16" x14ac:dyDescent="0.25">
      <c r="A4" s="7" t="s">
        <v>16</v>
      </c>
    </row>
    <row r="5" spans="1:16" x14ac:dyDescent="0.25">
      <c r="A5" s="7" t="s">
        <v>17</v>
      </c>
    </row>
    <row r="6" spans="1:16" x14ac:dyDescent="0.25">
      <c r="B6" t="s">
        <v>18</v>
      </c>
      <c r="E6" s="9">
        <v>1602.03</v>
      </c>
      <c r="F6" s="9">
        <v>1567.95</v>
      </c>
      <c r="G6" s="9">
        <v>1759.6</v>
      </c>
      <c r="H6" s="9">
        <v>1812.6899999999998</v>
      </c>
      <c r="I6" s="9">
        <f>Capex!I20</f>
        <v>1874.8915999999999</v>
      </c>
      <c r="J6" s="9">
        <f>Capex!J20</f>
        <v>1916.0931999999998</v>
      </c>
      <c r="K6" s="9">
        <f>Capex!K20</f>
        <v>1986.2947999999997</v>
      </c>
      <c r="L6" s="9">
        <f>Capex!L20</f>
        <v>2057.4964</v>
      </c>
      <c r="M6" s="9">
        <f>Capex!M20</f>
        <v>2178.1980000000003</v>
      </c>
      <c r="O6" s="11"/>
    </row>
    <row r="7" spans="1:16" x14ac:dyDescent="0.25">
      <c r="B7" t="s">
        <v>19</v>
      </c>
      <c r="E7" s="9">
        <v>46.54</v>
      </c>
      <c r="F7" s="9">
        <v>15.98</v>
      </c>
      <c r="G7" s="9">
        <v>77.209999999999994</v>
      </c>
      <c r="H7" s="9">
        <v>272.48</v>
      </c>
      <c r="I7" s="9">
        <f>I6*Assumptions!I21</f>
        <v>46.87229</v>
      </c>
      <c r="J7" s="9">
        <f>J6*Assumptions!J21</f>
        <v>47.902329999999999</v>
      </c>
      <c r="K7" s="9">
        <f>K6*Assumptions!K21</f>
        <v>49.657369999999993</v>
      </c>
      <c r="L7" s="9">
        <f>L6*Assumptions!L21</f>
        <v>51.43741</v>
      </c>
      <c r="M7" s="9">
        <f>M6*Assumptions!M21</f>
        <v>54.454950000000011</v>
      </c>
      <c r="O7" s="11"/>
      <c r="P7" s="9"/>
    </row>
    <row r="8" spans="1:16" x14ac:dyDescent="0.25">
      <c r="B8" t="s">
        <v>20</v>
      </c>
      <c r="E8" s="9">
        <v>53.9</v>
      </c>
      <c r="F8" s="9">
        <v>52.3</v>
      </c>
      <c r="G8" s="9">
        <v>51.13</v>
      </c>
      <c r="H8" s="9">
        <v>50</v>
      </c>
      <c r="I8" s="9">
        <f>H8</f>
        <v>50</v>
      </c>
      <c r="J8" s="9">
        <f t="shared" ref="J8:M8" si="0">I8</f>
        <v>50</v>
      </c>
      <c r="K8" s="9">
        <f t="shared" si="0"/>
        <v>50</v>
      </c>
      <c r="L8" s="9">
        <f t="shared" si="0"/>
        <v>50</v>
      </c>
      <c r="M8" s="9">
        <f t="shared" si="0"/>
        <v>50</v>
      </c>
      <c r="O8" s="11"/>
    </row>
    <row r="9" spans="1:16" x14ac:dyDescent="0.25">
      <c r="B9" t="s">
        <v>21</v>
      </c>
      <c r="E9" s="9">
        <v>43.09</v>
      </c>
      <c r="F9" s="9">
        <v>47.3</v>
      </c>
      <c r="G9" s="9">
        <v>25.32</v>
      </c>
      <c r="H9" s="9">
        <v>33.44</v>
      </c>
      <c r="I9" s="9">
        <f>I6*Assumptions!I22</f>
        <v>37.497832000000002</v>
      </c>
      <c r="J9" s="9">
        <f>J6*Assumptions!J22</f>
        <v>38.321863999999998</v>
      </c>
      <c r="K9" s="9">
        <f>K6*Assumptions!K22</f>
        <v>39.725895999999992</v>
      </c>
      <c r="L9" s="9">
        <f>L6*Assumptions!L22</f>
        <v>41.149928000000003</v>
      </c>
      <c r="M9" s="9">
        <f>M6*Assumptions!M22</f>
        <v>43.563960000000009</v>
      </c>
      <c r="O9" s="11"/>
    </row>
    <row r="10" spans="1:16" x14ac:dyDescent="0.25">
      <c r="B10" t="s">
        <v>22</v>
      </c>
      <c r="E10" s="9">
        <v>13.65</v>
      </c>
      <c r="F10" s="9">
        <v>0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O10" s="11"/>
    </row>
    <row r="11" spans="1:16" x14ac:dyDescent="0.25">
      <c r="B11" t="s">
        <v>23</v>
      </c>
      <c r="E11" s="9">
        <v>2950.89</v>
      </c>
      <c r="F11" s="9">
        <v>3288.96</v>
      </c>
      <c r="G11" s="9">
        <v>4063.79</v>
      </c>
      <c r="H11" s="9">
        <v>4204.62</v>
      </c>
      <c r="I11" s="9">
        <f>H11+'Income Statement'!I19</f>
        <v>4606.0599999999995</v>
      </c>
      <c r="J11" s="9">
        <f>I11+'Income Statement'!J19</f>
        <v>5027.5719999999992</v>
      </c>
      <c r="K11" s="9">
        <f>J11+'Income Statement'!K19</f>
        <v>5461.7293599999994</v>
      </c>
      <c r="L11" s="9">
        <f>K11+'Income Statement'!L19</f>
        <v>5908.9114407999996</v>
      </c>
      <c r="M11" s="9">
        <f>L11+'Income Statement'!M19</f>
        <v>6369.5089840239998</v>
      </c>
      <c r="O11" s="11"/>
    </row>
    <row r="12" spans="1:16" x14ac:dyDescent="0.25">
      <c r="B12" t="s">
        <v>24</v>
      </c>
      <c r="E12" s="9"/>
      <c r="F12" s="9"/>
      <c r="G12" s="9"/>
      <c r="H12" s="9"/>
      <c r="I12" s="9"/>
      <c r="J12" s="9"/>
      <c r="K12" s="9"/>
      <c r="L12" s="9"/>
      <c r="M12" s="9"/>
      <c r="O12" s="11"/>
    </row>
    <row r="13" spans="1:16" x14ac:dyDescent="0.25">
      <c r="C13" t="s">
        <v>25</v>
      </c>
      <c r="E13" s="9">
        <v>14182.94</v>
      </c>
      <c r="F13" s="9">
        <v>13369.58</v>
      </c>
      <c r="G13" s="9">
        <v>17601.2</v>
      </c>
      <c r="H13" s="9">
        <v>17166.53</v>
      </c>
      <c r="I13" s="9">
        <f>H13</f>
        <v>17166.53</v>
      </c>
      <c r="J13" s="9">
        <f t="shared" ref="J13:M13" si="1">I13</f>
        <v>17166.53</v>
      </c>
      <c r="K13" s="9">
        <f t="shared" si="1"/>
        <v>17166.53</v>
      </c>
      <c r="L13" s="9">
        <f t="shared" si="1"/>
        <v>17166.53</v>
      </c>
      <c r="M13" s="9">
        <f t="shared" si="1"/>
        <v>17166.53</v>
      </c>
      <c r="O13" s="11"/>
    </row>
    <row r="14" spans="1:16" x14ac:dyDescent="0.25">
      <c r="C14" t="s">
        <v>26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O14" s="11"/>
    </row>
    <row r="15" spans="1:16" x14ac:dyDescent="0.25">
      <c r="C15" t="s">
        <v>27</v>
      </c>
      <c r="D15" s="10"/>
      <c r="E15" s="9">
        <v>32.49</v>
      </c>
      <c r="F15" s="9">
        <v>5.22</v>
      </c>
      <c r="G15" s="9">
        <v>4.57</v>
      </c>
      <c r="H15" s="9">
        <v>2.6100000000000008</v>
      </c>
      <c r="I15" s="9">
        <f>H15</f>
        <v>2.6100000000000008</v>
      </c>
      <c r="J15" s="9">
        <f t="shared" ref="J15:M15" si="2">I15</f>
        <v>2.6100000000000008</v>
      </c>
      <c r="K15" s="9">
        <f t="shared" si="2"/>
        <v>2.6100000000000008</v>
      </c>
      <c r="L15" s="9">
        <f t="shared" si="2"/>
        <v>2.6100000000000008</v>
      </c>
      <c r="M15" s="9">
        <f t="shared" si="2"/>
        <v>2.6100000000000008</v>
      </c>
      <c r="O15" s="11"/>
    </row>
    <row r="16" spans="1:16" x14ac:dyDescent="0.25">
      <c r="C16" t="s">
        <v>28</v>
      </c>
      <c r="E16" s="9">
        <v>3.13</v>
      </c>
      <c r="F16" s="9">
        <v>26.56</v>
      </c>
      <c r="G16" s="9">
        <v>61.39</v>
      </c>
      <c r="H16" s="9">
        <v>67.8</v>
      </c>
      <c r="I16" s="9">
        <f>H16</f>
        <v>67.8</v>
      </c>
      <c r="J16" s="9">
        <f t="shared" ref="J16:M16" si="3">I16</f>
        <v>67.8</v>
      </c>
      <c r="K16" s="9">
        <f t="shared" si="3"/>
        <v>67.8</v>
      </c>
      <c r="L16" s="9">
        <f t="shared" si="3"/>
        <v>67.8</v>
      </c>
      <c r="M16" s="9">
        <f t="shared" si="3"/>
        <v>67.8</v>
      </c>
      <c r="O16" s="11"/>
    </row>
    <row r="17" spans="1:16" x14ac:dyDescent="0.25">
      <c r="B17" t="s">
        <v>29</v>
      </c>
      <c r="E17" s="9">
        <v>714.81</v>
      </c>
      <c r="F17" s="9">
        <v>714.81</v>
      </c>
      <c r="G17" s="9">
        <v>749.24</v>
      </c>
      <c r="H17" s="9">
        <v>783.67000000000007</v>
      </c>
      <c r="I17" s="9">
        <f>H17</f>
        <v>783.67000000000007</v>
      </c>
      <c r="J17" s="9">
        <f t="shared" ref="J17:M18" si="4">I17</f>
        <v>783.67000000000007</v>
      </c>
      <c r="K17" s="9">
        <f t="shared" si="4"/>
        <v>783.67000000000007</v>
      </c>
      <c r="L17" s="9">
        <f t="shared" si="4"/>
        <v>783.67000000000007</v>
      </c>
      <c r="M17" s="9">
        <f t="shared" si="4"/>
        <v>783.67000000000007</v>
      </c>
      <c r="O17" s="11"/>
    </row>
    <row r="18" spans="1:16" x14ac:dyDescent="0.25">
      <c r="B18" t="s">
        <v>30</v>
      </c>
      <c r="E18" s="9">
        <v>250.53</v>
      </c>
      <c r="F18" s="9">
        <v>325.39</v>
      </c>
      <c r="G18" s="9">
        <v>352.15</v>
      </c>
      <c r="H18" s="9">
        <v>575.14</v>
      </c>
      <c r="I18" s="9">
        <f>H18</f>
        <v>575.14</v>
      </c>
      <c r="J18" s="9">
        <f t="shared" si="4"/>
        <v>575.14</v>
      </c>
      <c r="K18" s="9">
        <f t="shared" si="4"/>
        <v>575.14</v>
      </c>
      <c r="L18" s="9">
        <f t="shared" si="4"/>
        <v>575.14</v>
      </c>
      <c r="M18" s="9">
        <f t="shared" si="4"/>
        <v>575.14</v>
      </c>
      <c r="O18" s="11"/>
    </row>
    <row r="19" spans="1:16" s="7" customFormat="1" x14ac:dyDescent="0.25">
      <c r="A19" s="20"/>
      <c r="B19" s="20" t="s">
        <v>31</v>
      </c>
      <c r="C19" s="20"/>
      <c r="D19" s="20"/>
      <c r="E19" s="81">
        <f>SUM(E6:E18)</f>
        <v>19894.000000000004</v>
      </c>
      <c r="F19" s="81">
        <f>SUM(F6:F18)</f>
        <v>19414.050000000003</v>
      </c>
      <c r="G19" s="81">
        <f>SUM(G6:G18)</f>
        <v>24745.600000000002</v>
      </c>
      <c r="H19" s="81">
        <f>SUM(H6:H18)</f>
        <v>24968.979999999996</v>
      </c>
      <c r="I19" s="81">
        <f t="shared" ref="I19:M19" si="5">SUM(I6:I18)</f>
        <v>25211.071722000001</v>
      </c>
      <c r="J19" s="81">
        <f t="shared" si="5"/>
        <v>25675.639393999998</v>
      </c>
      <c r="K19" s="81">
        <f t="shared" si="5"/>
        <v>26183.157425999998</v>
      </c>
      <c r="L19" s="81">
        <f t="shared" si="5"/>
        <v>26704.745178799996</v>
      </c>
      <c r="M19" s="81">
        <f t="shared" si="5"/>
        <v>27291.475894023999</v>
      </c>
      <c r="O19" s="11"/>
    </row>
    <row r="20" spans="1:16" x14ac:dyDescent="0.25">
      <c r="E20" s="9"/>
      <c r="F20" s="9"/>
      <c r="G20" s="9"/>
      <c r="H20" s="9"/>
      <c r="I20" s="9"/>
      <c r="J20" s="9"/>
      <c r="K20" s="9"/>
      <c r="L20" s="9"/>
      <c r="M20" s="9"/>
      <c r="O20" s="11"/>
    </row>
    <row r="21" spans="1:16" x14ac:dyDescent="0.25">
      <c r="A21" s="7" t="s">
        <v>32</v>
      </c>
      <c r="E21" s="9"/>
      <c r="F21" s="9"/>
      <c r="G21" s="9"/>
      <c r="H21" s="9"/>
      <c r="I21" s="9"/>
      <c r="J21" s="9"/>
      <c r="K21" s="9"/>
      <c r="L21" s="9"/>
      <c r="M21" s="9"/>
      <c r="O21" s="11"/>
    </row>
    <row r="22" spans="1:16" x14ac:dyDescent="0.25">
      <c r="B22" s="91" t="s">
        <v>33</v>
      </c>
      <c r="E22" s="9">
        <v>1063.5</v>
      </c>
      <c r="F22" s="9">
        <v>1493.89</v>
      </c>
      <c r="G22" s="9">
        <v>1230.51</v>
      </c>
      <c r="H22" s="9">
        <v>1371.4499999999998</v>
      </c>
      <c r="I22" s="9">
        <f>'Income Statement'!I5/Assumptions!I23</f>
        <v>1755.6135644167637</v>
      </c>
      <c r="J22" s="9">
        <f>'Income Statement'!J5/Assumptions!J23</f>
        <v>1884.3785325274816</v>
      </c>
      <c r="K22" s="9">
        <f>'Income Statement'!K5/Assumptions!K23</f>
        <v>2186.2139148205383</v>
      </c>
      <c r="L22" s="9">
        <f>'Income Statement'!L5/Assumptions!L23</f>
        <v>2482.709153377386</v>
      </c>
      <c r="M22" s="9">
        <f>'Income Statement'!M5/Assumptions!M23</f>
        <v>2718.6244890110779</v>
      </c>
      <c r="O22" s="11"/>
    </row>
    <row r="23" spans="1:16" x14ac:dyDescent="0.25">
      <c r="B23" t="s">
        <v>24</v>
      </c>
      <c r="E23" s="9"/>
      <c r="F23" s="9"/>
      <c r="G23" s="9"/>
      <c r="H23" s="9"/>
      <c r="I23" s="9"/>
      <c r="J23" s="9"/>
      <c r="K23" s="9"/>
      <c r="L23" s="9"/>
      <c r="M23" s="9"/>
      <c r="O23" s="11"/>
    </row>
    <row r="24" spans="1:16" x14ac:dyDescent="0.25">
      <c r="C24" t="s">
        <v>25</v>
      </c>
      <c r="E24" s="9">
        <v>2779.75</v>
      </c>
      <c r="F24" s="9">
        <v>8028.11</v>
      </c>
      <c r="G24" s="9">
        <v>4969.13</v>
      </c>
      <c r="H24" s="9">
        <v>3185.34</v>
      </c>
      <c r="I24" s="9">
        <f>H24</f>
        <v>3185.34</v>
      </c>
      <c r="J24" s="9">
        <f t="shared" ref="J24:M24" si="6">I24</f>
        <v>3185.34</v>
      </c>
      <c r="K24" s="9">
        <f t="shared" si="6"/>
        <v>3185.34</v>
      </c>
      <c r="L24" s="9">
        <f t="shared" si="6"/>
        <v>3185.34</v>
      </c>
      <c r="M24" s="9">
        <f t="shared" si="6"/>
        <v>3185.34</v>
      </c>
      <c r="O24" s="11"/>
    </row>
    <row r="25" spans="1:16" x14ac:dyDescent="0.25">
      <c r="C25" t="s">
        <v>26</v>
      </c>
      <c r="E25" s="9">
        <v>1725.1</v>
      </c>
      <c r="F25" s="9">
        <v>2716.85</v>
      </c>
      <c r="G25" s="9">
        <v>1516.38</v>
      </c>
      <c r="H25" s="9">
        <v>1414.79</v>
      </c>
      <c r="I25" s="9">
        <f>'Income Statement'!I5/Assumptions!I25</f>
        <v>2054.6820178454795</v>
      </c>
      <c r="J25" s="9">
        <f>'Income Statement'!J5/Assumptions!J25</f>
        <v>2156.4694710381264</v>
      </c>
      <c r="K25" s="9">
        <f>'Income Statement'!K5/Assumptions!K25</f>
        <v>2443.2458852218069</v>
      </c>
      <c r="L25" s="9">
        <f>'Income Statement'!L5/Assumptions!L25</f>
        <v>2841.8242784617214</v>
      </c>
      <c r="M25" s="9">
        <f>'Income Statement'!M5/Assumptions!M25</f>
        <v>3087.0418065124918</v>
      </c>
      <c r="O25" s="11"/>
    </row>
    <row r="26" spans="1:16" x14ac:dyDescent="0.25">
      <c r="C26" t="s">
        <v>34</v>
      </c>
      <c r="E26" s="9">
        <v>285.39999999999998</v>
      </c>
      <c r="F26" s="9">
        <v>516.61</v>
      </c>
      <c r="G26" s="9">
        <v>933.69</v>
      </c>
      <c r="H26" s="9">
        <v>1383.65</v>
      </c>
      <c r="I26" s="9">
        <f>'CashFlow Statement'!I76</f>
        <v>2551.6501701776501</v>
      </c>
      <c r="J26" s="9">
        <f>'CashFlow Statement'!J76</f>
        <v>4646.7837813554124</v>
      </c>
      <c r="K26" s="9">
        <f>'CashFlow Statement'!K76</f>
        <v>7431.750575261899</v>
      </c>
      <c r="L26" s="9">
        <f>'CashFlow Statement'!L76</f>
        <v>10119.9338876285</v>
      </c>
      <c r="M26" s="9">
        <f>'CashFlow Statement'!M76</f>
        <v>13357.503756998072</v>
      </c>
      <c r="O26" s="11"/>
    </row>
    <row r="27" spans="1:16" x14ac:dyDescent="0.25">
      <c r="C27" t="s">
        <v>35</v>
      </c>
      <c r="E27" s="9">
        <v>30.94</v>
      </c>
      <c r="F27" s="9">
        <v>22.23</v>
      </c>
      <c r="G27" s="9">
        <v>24.37</v>
      </c>
      <c r="H27" s="9">
        <v>79.52</v>
      </c>
      <c r="I27" s="9">
        <f>H27</f>
        <v>79.52</v>
      </c>
      <c r="J27" s="9">
        <f t="shared" ref="J27:M27" si="7">I27</f>
        <v>79.52</v>
      </c>
      <c r="K27" s="9">
        <f t="shared" si="7"/>
        <v>79.52</v>
      </c>
      <c r="L27" s="9">
        <f t="shared" si="7"/>
        <v>79.52</v>
      </c>
      <c r="M27" s="9">
        <f t="shared" si="7"/>
        <v>79.52</v>
      </c>
      <c r="O27" s="11"/>
    </row>
    <row r="28" spans="1:16" x14ac:dyDescent="0.25">
      <c r="C28" t="s">
        <v>27</v>
      </c>
      <c r="E28" s="9">
        <v>6.11</v>
      </c>
      <c r="F28" s="9">
        <v>5.74</v>
      </c>
      <c r="G28" s="9">
        <v>4.17</v>
      </c>
      <c r="H28" s="9">
        <v>2.9799999999999995</v>
      </c>
      <c r="I28" s="9">
        <f>H28</f>
        <v>2.9799999999999995</v>
      </c>
      <c r="J28" s="9">
        <f t="shared" ref="J28:M28" si="8">I28</f>
        <v>2.9799999999999995</v>
      </c>
      <c r="K28" s="9">
        <f t="shared" si="8"/>
        <v>2.9799999999999995</v>
      </c>
      <c r="L28" s="9">
        <f t="shared" si="8"/>
        <v>2.9799999999999995</v>
      </c>
      <c r="M28" s="9">
        <f t="shared" si="8"/>
        <v>2.9799999999999995</v>
      </c>
      <c r="O28" s="11"/>
    </row>
    <row r="29" spans="1:16" x14ac:dyDescent="0.25">
      <c r="C29" t="s">
        <v>28</v>
      </c>
      <c r="E29" s="9">
        <v>87.98</v>
      </c>
      <c r="F29" s="9">
        <v>223.53</v>
      </c>
      <c r="G29" s="9">
        <v>596.26</v>
      </c>
      <c r="H29" s="9">
        <v>800.66</v>
      </c>
      <c r="I29" s="9">
        <f>H29</f>
        <v>800.66</v>
      </c>
      <c r="J29" s="9">
        <f t="shared" ref="J29:M29" si="9">I29</f>
        <v>800.66</v>
      </c>
      <c r="K29" s="9">
        <f t="shared" si="9"/>
        <v>800.66</v>
      </c>
      <c r="L29" s="9">
        <f t="shared" si="9"/>
        <v>800.66</v>
      </c>
      <c r="M29" s="9">
        <f t="shared" si="9"/>
        <v>800.66</v>
      </c>
      <c r="O29" s="11"/>
    </row>
    <row r="30" spans="1:16" x14ac:dyDescent="0.25">
      <c r="B30" t="s">
        <v>36</v>
      </c>
      <c r="E30" s="9">
        <v>637.24</v>
      </c>
      <c r="F30" s="9">
        <v>1180.7</v>
      </c>
      <c r="G30" s="9">
        <v>1091.0999999999999</v>
      </c>
      <c r="H30" s="9">
        <v>956.31999999999982</v>
      </c>
      <c r="I30" s="9">
        <f>H30</f>
        <v>956.31999999999982</v>
      </c>
      <c r="J30" s="9">
        <f t="shared" ref="J30:M30" si="10">I30</f>
        <v>956.31999999999982</v>
      </c>
      <c r="K30" s="9">
        <f t="shared" si="10"/>
        <v>956.31999999999982</v>
      </c>
      <c r="L30" s="9">
        <f t="shared" si="10"/>
        <v>956.31999999999982</v>
      </c>
      <c r="M30" s="9">
        <f t="shared" si="10"/>
        <v>956.31999999999982</v>
      </c>
      <c r="O30" s="11"/>
    </row>
    <row r="31" spans="1:16" s="7" customFormat="1" ht="15.75" thickBot="1" x14ac:dyDescent="0.3">
      <c r="A31" s="20"/>
      <c r="B31" s="20" t="s">
        <v>37</v>
      </c>
      <c r="C31" s="20"/>
      <c r="D31" s="20"/>
      <c r="E31" s="81">
        <f>SUM(E22:E30)</f>
        <v>6616.0199999999986</v>
      </c>
      <c r="F31" s="81">
        <f>SUM(F22:F30)</f>
        <v>14187.660000000002</v>
      </c>
      <c r="G31" s="81">
        <f>SUM(G22:G30)</f>
        <v>10365.610000000002</v>
      </c>
      <c r="H31" s="81">
        <f>SUM(H22:H30)</f>
        <v>9194.7099999999991</v>
      </c>
      <c r="I31" s="81">
        <f t="shared" ref="I31:M31" si="11">SUM(I22:I30)</f>
        <v>11386.765752439893</v>
      </c>
      <c r="J31" s="81">
        <f t="shared" si="11"/>
        <v>13712.451784921021</v>
      </c>
      <c r="K31" s="81">
        <f t="shared" si="11"/>
        <v>17086.030375304246</v>
      </c>
      <c r="L31" s="81">
        <f t="shared" si="11"/>
        <v>20469.287319467607</v>
      </c>
      <c r="M31" s="81">
        <f t="shared" si="11"/>
        <v>24187.99005252164</v>
      </c>
      <c r="O31" s="11"/>
      <c r="P31" s="11"/>
    </row>
    <row r="32" spans="1:16" ht="15.75" thickTop="1" x14ac:dyDescent="0.25">
      <c r="A32" s="83" t="s">
        <v>38</v>
      </c>
      <c r="B32" s="83"/>
      <c r="C32" s="83"/>
      <c r="D32" s="83"/>
      <c r="E32" s="84">
        <f>E19+E31</f>
        <v>26510.020000000004</v>
      </c>
      <c r="F32" s="84">
        <f>F19+F31</f>
        <v>33601.710000000006</v>
      </c>
      <c r="G32" s="84">
        <f>G19+G31</f>
        <v>35111.210000000006</v>
      </c>
      <c r="H32" s="84">
        <f>H19+H31</f>
        <v>34163.689999999995</v>
      </c>
      <c r="I32" s="84">
        <f t="shared" ref="I32:M32" si="12">I19+I31</f>
        <v>36597.83747443989</v>
      </c>
      <c r="J32" s="84">
        <f t="shared" si="12"/>
        <v>39388.091178921022</v>
      </c>
      <c r="K32" s="84">
        <f>ROUND(K19+K31,2)</f>
        <v>43269.19</v>
      </c>
      <c r="L32" s="84">
        <f t="shared" si="12"/>
        <v>47174.032498267603</v>
      </c>
      <c r="M32" s="84">
        <f t="shared" si="12"/>
        <v>51479.465946545635</v>
      </c>
      <c r="N32" s="7"/>
      <c r="O32" s="11"/>
      <c r="P32" s="9"/>
    </row>
    <row r="33" spans="1:18" x14ac:dyDescent="0.25">
      <c r="E33" s="9"/>
      <c r="F33" s="9"/>
      <c r="G33" s="9"/>
      <c r="H33" s="9"/>
      <c r="I33" s="9"/>
      <c r="J33" s="9"/>
      <c r="K33" s="9"/>
      <c r="L33" s="9"/>
      <c r="M33" s="9"/>
      <c r="O33" s="11"/>
      <c r="Q33" s="9"/>
    </row>
    <row r="34" spans="1:18" x14ac:dyDescent="0.25">
      <c r="A34" s="7" t="s">
        <v>39</v>
      </c>
      <c r="E34" s="9"/>
      <c r="F34" s="9"/>
      <c r="G34" s="9"/>
      <c r="H34" s="9"/>
      <c r="I34" s="9"/>
      <c r="J34" s="9"/>
      <c r="K34" s="9"/>
      <c r="L34" s="9"/>
      <c r="M34" s="9"/>
      <c r="O34" s="11"/>
    </row>
    <row r="35" spans="1:18" x14ac:dyDescent="0.25">
      <c r="A35" s="7" t="s">
        <v>40</v>
      </c>
      <c r="E35" s="9"/>
      <c r="F35" s="9"/>
      <c r="G35" s="9"/>
      <c r="H35" s="9"/>
      <c r="I35" s="9"/>
      <c r="J35" s="9"/>
      <c r="K35" s="9"/>
      <c r="L35" s="9"/>
      <c r="M35" s="9"/>
      <c r="O35" s="11"/>
    </row>
    <row r="36" spans="1:18" x14ac:dyDescent="0.25">
      <c r="B36" t="s">
        <v>41</v>
      </c>
      <c r="E36" s="9">
        <v>289.37</v>
      </c>
      <c r="F36" s="9">
        <v>289.37</v>
      </c>
      <c r="G36" s="9">
        <v>289.37</v>
      </c>
      <c r="H36" s="9">
        <v>283.64999999999998</v>
      </c>
      <c r="I36" s="9">
        <f>H36</f>
        <v>283.64999999999998</v>
      </c>
      <c r="J36" s="9">
        <f t="shared" ref="J36:M36" si="13">I36</f>
        <v>283.64999999999998</v>
      </c>
      <c r="K36" s="9">
        <f t="shared" si="13"/>
        <v>283.64999999999998</v>
      </c>
      <c r="L36" s="9">
        <f t="shared" si="13"/>
        <v>283.64999999999998</v>
      </c>
      <c r="M36" s="9">
        <f t="shared" si="13"/>
        <v>283.64999999999998</v>
      </c>
      <c r="O36" s="11"/>
    </row>
    <row r="37" spans="1:18" x14ac:dyDescent="0.25">
      <c r="B37" t="s">
        <v>42</v>
      </c>
      <c r="E37" s="9">
        <v>21372.71</v>
      </c>
      <c r="F37" s="9">
        <v>26984.06</v>
      </c>
      <c r="G37" s="9">
        <v>29570.28</v>
      </c>
      <c r="H37" s="9">
        <v>28591.31</v>
      </c>
      <c r="I37" s="9">
        <f>H37+'Income Statement'!I27+'CashFlow Statement'!I68</f>
        <v>30615.939694607794</v>
      </c>
      <c r="J37" s="9">
        <f>I37+'Income Statement'!J27+'CashFlow Statement'!J68</f>
        <v>33263.975032309885</v>
      </c>
      <c r="K37" s="9">
        <f>J37+'Income Statement'!K27+'CashFlow Statement'!K68</f>
        <v>36254.87520786441</v>
      </c>
      <c r="L37" s="9">
        <f>K37+'Income Statement'!L27+'CashFlow Statement'!L68</f>
        <v>39591.851829582381</v>
      </c>
      <c r="M37" s="9">
        <f>L37+'Income Statement'!M27+'CashFlow Statement'!M68</f>
        <v>43304.526369953281</v>
      </c>
      <c r="O37" s="11"/>
      <c r="P37" s="9"/>
      <c r="Q37" s="9"/>
      <c r="R37" s="9"/>
    </row>
    <row r="38" spans="1:18" s="7" customFormat="1" x14ac:dyDescent="0.25">
      <c r="B38" s="7" t="s">
        <v>43</v>
      </c>
      <c r="E38" s="11">
        <f>SUM(E36:E37)</f>
        <v>21662.079999999998</v>
      </c>
      <c r="F38" s="11">
        <f>SUM(F36:F37)</f>
        <v>27273.43</v>
      </c>
      <c r="G38" s="11">
        <f>SUM(G36:G37)</f>
        <v>29859.649999999998</v>
      </c>
      <c r="H38" s="11">
        <f>SUM(H36:H37)</f>
        <v>28874.960000000003</v>
      </c>
      <c r="I38" s="11">
        <f t="shared" ref="I38:M38" si="14">SUM(I36:I37)</f>
        <v>30899.589694607796</v>
      </c>
      <c r="J38" s="11">
        <f t="shared" si="14"/>
        <v>33547.625032309887</v>
      </c>
      <c r="K38" s="11">
        <f t="shared" si="14"/>
        <v>36538.525207864412</v>
      </c>
      <c r="L38" s="11">
        <f t="shared" si="14"/>
        <v>39875.501829582383</v>
      </c>
      <c r="M38" s="11">
        <f t="shared" si="14"/>
        <v>43588.176369953282</v>
      </c>
      <c r="O38" s="11"/>
      <c r="Q38" s="11"/>
    </row>
    <row r="39" spans="1:18" x14ac:dyDescent="0.25">
      <c r="B39" t="s">
        <v>44</v>
      </c>
      <c r="E39" s="9">
        <v>0.01</v>
      </c>
      <c r="F39" s="9">
        <v>0.01</v>
      </c>
      <c r="G39" s="9">
        <v>0.01</v>
      </c>
      <c r="H39" s="9">
        <v>0.01</v>
      </c>
      <c r="I39" s="9">
        <v>0.01</v>
      </c>
      <c r="J39" s="9">
        <v>0.01</v>
      </c>
      <c r="K39" s="9">
        <v>0.01</v>
      </c>
      <c r="L39" s="9">
        <v>0.01</v>
      </c>
      <c r="M39" s="9">
        <v>0.01</v>
      </c>
      <c r="O39" s="11"/>
    </row>
    <row r="40" spans="1:18" s="7" customFormat="1" x14ac:dyDescent="0.25">
      <c r="A40" s="20"/>
      <c r="B40" s="20" t="s">
        <v>45</v>
      </c>
      <c r="C40" s="20"/>
      <c r="D40" s="20"/>
      <c r="E40" s="81">
        <f>SUM(E38:E39)</f>
        <v>21662.089999999997</v>
      </c>
      <c r="F40" s="81">
        <f>SUM(F38:F39)</f>
        <v>27273.439999999999</v>
      </c>
      <c r="G40" s="81">
        <f>SUM(G38:G39)</f>
        <v>29859.659999999996</v>
      </c>
      <c r="H40" s="81">
        <f>SUM(H38:H39)</f>
        <v>28874.97</v>
      </c>
      <c r="I40" s="81">
        <f t="shared" ref="I40:M40" si="15">SUM(I38:I39)</f>
        <v>30899.599694607794</v>
      </c>
      <c r="J40" s="81">
        <f t="shared" si="15"/>
        <v>33547.635032309889</v>
      </c>
      <c r="K40" s="81">
        <f t="shared" si="15"/>
        <v>36538.535207864414</v>
      </c>
      <c r="L40" s="81">
        <f t="shared" si="15"/>
        <v>39875.511829582385</v>
      </c>
      <c r="M40" s="81">
        <f t="shared" si="15"/>
        <v>43588.186369953284</v>
      </c>
      <c r="O40" s="11"/>
    </row>
    <row r="41" spans="1:18" x14ac:dyDescent="0.25">
      <c r="E41" s="9"/>
      <c r="F41" s="9"/>
      <c r="G41" s="9"/>
      <c r="H41" s="9"/>
      <c r="I41" s="9"/>
      <c r="J41" s="9"/>
      <c r="K41" s="9"/>
      <c r="L41" s="9"/>
      <c r="M41" s="9"/>
      <c r="O41" s="11"/>
    </row>
    <row r="42" spans="1:18" x14ac:dyDescent="0.25">
      <c r="A42" s="7" t="s">
        <v>46</v>
      </c>
      <c r="E42" s="9"/>
      <c r="F42" s="9"/>
      <c r="G42" s="9"/>
      <c r="H42" s="9"/>
      <c r="I42" s="9"/>
      <c r="J42" s="9"/>
      <c r="K42" s="9"/>
      <c r="L42" s="9"/>
      <c r="M42" s="9"/>
      <c r="O42" s="11"/>
    </row>
    <row r="43" spans="1:18" x14ac:dyDescent="0.25">
      <c r="B43" t="s">
        <v>47</v>
      </c>
      <c r="E43" s="9"/>
      <c r="F43" s="9"/>
      <c r="G43" s="9"/>
      <c r="H43" s="9"/>
      <c r="I43" s="9"/>
      <c r="J43" s="9"/>
      <c r="K43" s="9"/>
      <c r="L43" s="9"/>
      <c r="M43" s="9"/>
      <c r="O43" s="11"/>
    </row>
    <row r="44" spans="1:18" x14ac:dyDescent="0.25">
      <c r="C44" t="s">
        <v>48</v>
      </c>
      <c r="E44" s="9">
        <v>125.59</v>
      </c>
      <c r="F44" s="9">
        <v>121.46</v>
      </c>
      <c r="G44" s="9">
        <v>122.77</v>
      </c>
      <c r="H44" s="9">
        <v>124.14999999999999</v>
      </c>
      <c r="I44" s="9">
        <f>H44</f>
        <v>124.14999999999999</v>
      </c>
      <c r="J44" s="9">
        <f t="shared" ref="J44:M44" si="16">I44</f>
        <v>124.14999999999999</v>
      </c>
      <c r="K44" s="9">
        <f t="shared" si="16"/>
        <v>124.14999999999999</v>
      </c>
      <c r="L44" s="9">
        <f t="shared" si="16"/>
        <v>124.14999999999999</v>
      </c>
      <c r="M44" s="9">
        <f t="shared" si="16"/>
        <v>124.14999999999999</v>
      </c>
      <c r="O44" s="11"/>
    </row>
    <row r="45" spans="1:18" x14ac:dyDescent="0.25">
      <c r="B45" t="s">
        <v>49</v>
      </c>
      <c r="E45" s="9">
        <v>80.5</v>
      </c>
      <c r="F45" s="9">
        <v>1.98</v>
      </c>
      <c r="G45" s="9">
        <v>1.3</v>
      </c>
      <c r="H45" s="9">
        <v>3.2</v>
      </c>
      <c r="I45" s="9">
        <f>H45</f>
        <v>3.2</v>
      </c>
      <c r="J45" s="9">
        <f t="shared" ref="J45:M45" si="17">I45</f>
        <v>3.2</v>
      </c>
      <c r="K45" s="9">
        <f t="shared" si="17"/>
        <v>3.2</v>
      </c>
      <c r="L45" s="9">
        <f t="shared" si="17"/>
        <v>3.2</v>
      </c>
      <c r="M45" s="9">
        <f t="shared" si="17"/>
        <v>3.2</v>
      </c>
      <c r="O45" s="11"/>
    </row>
    <row r="46" spans="1:18" x14ac:dyDescent="0.25">
      <c r="B46" t="s">
        <v>50</v>
      </c>
      <c r="E46" s="9">
        <v>346.38</v>
      </c>
      <c r="F46" s="9">
        <v>522.14</v>
      </c>
      <c r="G46" s="9">
        <v>402.68</v>
      </c>
      <c r="H46" s="9">
        <v>268.73</v>
      </c>
      <c r="I46" s="9">
        <f>H46</f>
        <v>268.73</v>
      </c>
      <c r="J46" s="9">
        <f t="shared" ref="J46:M46" si="18">I46</f>
        <v>268.73</v>
      </c>
      <c r="K46" s="9">
        <f t="shared" si="18"/>
        <v>268.73</v>
      </c>
      <c r="L46" s="9">
        <f t="shared" si="18"/>
        <v>268.73</v>
      </c>
      <c r="M46" s="9">
        <f t="shared" si="18"/>
        <v>268.73</v>
      </c>
      <c r="O46" s="11"/>
    </row>
    <row r="47" spans="1:18" x14ac:dyDescent="0.25">
      <c r="B47" t="s">
        <v>51</v>
      </c>
      <c r="E47" s="9">
        <v>41.3</v>
      </c>
      <c r="F47" s="9">
        <v>38.65</v>
      </c>
      <c r="G47" s="9">
        <v>36</v>
      </c>
      <c r="H47" s="9">
        <v>33.35</v>
      </c>
      <c r="I47" s="9">
        <f>H47</f>
        <v>33.35</v>
      </c>
      <c r="J47" s="9">
        <f t="shared" ref="J47:M48" si="19">I47</f>
        <v>33.35</v>
      </c>
      <c r="K47" s="9">
        <f t="shared" si="19"/>
        <v>33.35</v>
      </c>
      <c r="L47" s="9">
        <f t="shared" si="19"/>
        <v>33.35</v>
      </c>
      <c r="M47" s="9">
        <f t="shared" si="19"/>
        <v>33.35</v>
      </c>
      <c r="O47" s="11"/>
    </row>
    <row r="48" spans="1:18" x14ac:dyDescent="0.25">
      <c r="B48" t="s">
        <v>52</v>
      </c>
      <c r="E48" s="9">
        <v>0.83</v>
      </c>
      <c r="F48" s="9">
        <v>0.5</v>
      </c>
      <c r="G48" s="9">
        <v>0.3</v>
      </c>
      <c r="H48" s="9">
        <v>0.2</v>
      </c>
      <c r="I48" s="9">
        <f>H48</f>
        <v>0.2</v>
      </c>
      <c r="J48" s="9">
        <f t="shared" si="19"/>
        <v>0.2</v>
      </c>
      <c r="K48" s="9">
        <f t="shared" si="19"/>
        <v>0.2</v>
      </c>
      <c r="L48" s="9">
        <f t="shared" si="19"/>
        <v>0.2</v>
      </c>
      <c r="M48" s="9">
        <f t="shared" si="19"/>
        <v>0.2</v>
      </c>
      <c r="O48" s="11"/>
    </row>
    <row r="49" spans="1:16" s="7" customFormat="1" x14ac:dyDescent="0.25">
      <c r="A49" s="20"/>
      <c r="B49" s="20" t="s">
        <v>53</v>
      </c>
      <c r="C49" s="20"/>
      <c r="D49" s="20"/>
      <c r="E49" s="81">
        <f>SUM(E44:E48)</f>
        <v>594.6</v>
      </c>
      <c r="F49" s="81">
        <f>SUM(F44:F48)</f>
        <v>684.7299999999999</v>
      </c>
      <c r="G49" s="81">
        <f>SUM(G44:G48)</f>
        <v>563.04999999999995</v>
      </c>
      <c r="H49" s="81">
        <f>SUM(H44:H48)</f>
        <v>429.63000000000005</v>
      </c>
      <c r="I49" s="81">
        <f t="shared" ref="I49:M49" si="20">SUM(I44:I48)</f>
        <v>429.63000000000005</v>
      </c>
      <c r="J49" s="81">
        <f t="shared" si="20"/>
        <v>429.63000000000005</v>
      </c>
      <c r="K49" s="81">
        <f t="shared" si="20"/>
        <v>429.63000000000005</v>
      </c>
      <c r="L49" s="81">
        <f t="shared" si="20"/>
        <v>429.63000000000005</v>
      </c>
      <c r="M49" s="81">
        <f t="shared" si="20"/>
        <v>429.63000000000005</v>
      </c>
      <c r="O49" s="11"/>
    </row>
    <row r="50" spans="1:16" x14ac:dyDescent="0.25">
      <c r="E50" s="9"/>
      <c r="F50" s="9"/>
      <c r="G50" s="9"/>
      <c r="H50" s="9"/>
      <c r="I50" s="9"/>
      <c r="J50" s="9"/>
      <c r="K50" s="9"/>
      <c r="L50" s="9"/>
      <c r="M50" s="9"/>
      <c r="O50" s="11"/>
    </row>
    <row r="51" spans="1:16" x14ac:dyDescent="0.25">
      <c r="A51" s="7" t="s">
        <v>54</v>
      </c>
      <c r="E51" s="9"/>
      <c r="F51" s="9"/>
      <c r="G51" s="9"/>
      <c r="H51" s="9"/>
      <c r="I51" s="9"/>
      <c r="J51" s="9"/>
      <c r="K51" s="9"/>
      <c r="L51" s="9"/>
      <c r="M51" s="9"/>
      <c r="O51" s="11"/>
    </row>
    <row r="52" spans="1:16" x14ac:dyDescent="0.25">
      <c r="B52" t="s">
        <v>47</v>
      </c>
      <c r="E52" s="9"/>
      <c r="F52" s="9"/>
      <c r="G52" s="9"/>
      <c r="H52" s="9"/>
      <c r="I52" s="9"/>
      <c r="J52" s="9"/>
      <c r="K52" s="9"/>
      <c r="L52" s="9"/>
      <c r="M52" s="9"/>
      <c r="O52" s="11"/>
    </row>
    <row r="53" spans="1:16" x14ac:dyDescent="0.25">
      <c r="C53" s="91" t="s">
        <v>55</v>
      </c>
      <c r="E53" s="9">
        <v>3199.82</v>
      </c>
      <c r="F53" s="9">
        <v>4574.1099999999997</v>
      </c>
      <c r="G53" s="9">
        <v>3632.15</v>
      </c>
      <c r="H53" s="9">
        <v>3860.6800000000007</v>
      </c>
      <c r="I53" s="9">
        <f>'Income Statement'!I8/Assumptions!I27</f>
        <v>4270.1977798321041</v>
      </c>
      <c r="J53" s="9">
        <f>'Income Statement'!J8/Assumptions!J27</f>
        <v>4412.41614661114</v>
      </c>
      <c r="K53" s="9">
        <f>'Income Statement'!K8/Assumptions!K27</f>
        <v>5302.6125934398415</v>
      </c>
      <c r="L53" s="9">
        <f>'Income Statement'!L8/Assumptions!L27</f>
        <v>5870.4806686852253</v>
      </c>
      <c r="M53" s="9">
        <f>'Income Statement'!M8/Assumptions!M27</f>
        <v>6463.2395765923611</v>
      </c>
      <c r="O53" s="11"/>
    </row>
    <row r="54" spans="1:16" x14ac:dyDescent="0.25">
      <c r="C54" t="s">
        <v>56</v>
      </c>
      <c r="E54" s="9">
        <v>548.27</v>
      </c>
      <c r="F54" s="9">
        <v>407.44</v>
      </c>
      <c r="G54" s="9">
        <v>397</v>
      </c>
      <c r="H54" s="9">
        <v>505.15999999999997</v>
      </c>
      <c r="I54" s="9">
        <f>H54</f>
        <v>505.15999999999997</v>
      </c>
      <c r="J54" s="9">
        <f t="shared" ref="J54:M54" si="21">I54</f>
        <v>505.15999999999997</v>
      </c>
      <c r="K54" s="9">
        <f t="shared" si="21"/>
        <v>505.15999999999997</v>
      </c>
      <c r="L54" s="9">
        <f t="shared" si="21"/>
        <v>505.15999999999997</v>
      </c>
      <c r="M54" s="9">
        <f t="shared" si="21"/>
        <v>505.15999999999997</v>
      </c>
      <c r="O54" s="11"/>
    </row>
    <row r="55" spans="1:16" x14ac:dyDescent="0.25">
      <c r="B55" t="s">
        <v>57</v>
      </c>
      <c r="E55" s="9">
        <v>328.88</v>
      </c>
      <c r="F55" s="9">
        <v>482.82</v>
      </c>
      <c r="G55" s="9">
        <v>478.8</v>
      </c>
      <c r="H55" s="9">
        <v>351.72</v>
      </c>
      <c r="I55" s="9">
        <f>H55</f>
        <v>351.72</v>
      </c>
      <c r="J55" s="9">
        <f t="shared" ref="J55:M55" si="22">I55</f>
        <v>351.72</v>
      </c>
      <c r="K55" s="9">
        <f t="shared" si="22"/>
        <v>351.72</v>
      </c>
      <c r="L55" s="9">
        <f t="shared" si="22"/>
        <v>351.72</v>
      </c>
      <c r="M55" s="9">
        <f t="shared" si="22"/>
        <v>351.72</v>
      </c>
      <c r="O55" s="11"/>
    </row>
    <row r="56" spans="1:16" x14ac:dyDescent="0.25">
      <c r="B56" t="s">
        <v>49</v>
      </c>
      <c r="E56" s="9">
        <v>157.97</v>
      </c>
      <c r="F56" s="9">
        <v>152.37</v>
      </c>
      <c r="G56" s="9">
        <v>153.75</v>
      </c>
      <c r="H56" s="9">
        <v>146.33000000000001</v>
      </c>
      <c r="I56" s="9">
        <f>H56</f>
        <v>146.33000000000001</v>
      </c>
      <c r="J56" s="9">
        <f t="shared" ref="J56:M56" si="23">I56</f>
        <v>146.33000000000001</v>
      </c>
      <c r="K56" s="9">
        <f t="shared" si="23"/>
        <v>146.33000000000001</v>
      </c>
      <c r="L56" s="9">
        <f t="shared" si="23"/>
        <v>146.33000000000001</v>
      </c>
      <c r="M56" s="9">
        <f t="shared" si="23"/>
        <v>146.33000000000001</v>
      </c>
      <c r="O56" s="11"/>
    </row>
    <row r="57" spans="1:16" x14ac:dyDescent="0.25">
      <c r="B57" t="s">
        <v>51</v>
      </c>
      <c r="E57" s="9">
        <v>2.65</v>
      </c>
      <c r="F57" s="9">
        <v>2.65</v>
      </c>
      <c r="G57" s="9">
        <v>2.65</v>
      </c>
      <c r="H57" s="9">
        <v>2.65</v>
      </c>
      <c r="I57" s="9">
        <f>H57</f>
        <v>2.65</v>
      </c>
      <c r="J57" s="9">
        <f t="shared" ref="J57:M57" si="24">I57</f>
        <v>2.65</v>
      </c>
      <c r="K57" s="9">
        <f t="shared" si="24"/>
        <v>2.65</v>
      </c>
      <c r="L57" s="9">
        <f t="shared" si="24"/>
        <v>2.65</v>
      </c>
      <c r="M57" s="9">
        <f t="shared" si="24"/>
        <v>2.65</v>
      </c>
      <c r="O57" s="11"/>
    </row>
    <row r="58" spans="1:16" x14ac:dyDescent="0.25">
      <c r="B58" t="s">
        <v>58</v>
      </c>
      <c r="E58" s="9">
        <v>15.74</v>
      </c>
      <c r="F58" s="9">
        <v>24.15</v>
      </c>
      <c r="G58" s="9">
        <v>24.15</v>
      </c>
      <c r="H58" s="9">
        <v>-7.4499999999999602</v>
      </c>
      <c r="I58" s="9">
        <f>H58</f>
        <v>-7.4499999999999602</v>
      </c>
      <c r="J58" s="9">
        <f t="shared" ref="J58:M58" si="25">I58</f>
        <v>-7.4499999999999602</v>
      </c>
      <c r="K58" s="9">
        <f t="shared" si="25"/>
        <v>-7.4499999999999602</v>
      </c>
      <c r="L58" s="9">
        <f t="shared" si="25"/>
        <v>-7.4499999999999602</v>
      </c>
      <c r="M58" s="9">
        <f t="shared" si="25"/>
        <v>-7.4499999999999602</v>
      </c>
      <c r="O58" s="11"/>
    </row>
    <row r="59" spans="1:16" s="7" customFormat="1" ht="15.75" thickBot="1" x14ac:dyDescent="0.3">
      <c r="A59" s="20"/>
      <c r="B59" s="20" t="s">
        <v>59</v>
      </c>
      <c r="C59" s="20"/>
      <c r="D59" s="20"/>
      <c r="E59" s="81">
        <f>SUM(E53:E58)</f>
        <v>4253.33</v>
      </c>
      <c r="F59" s="81">
        <f>SUM(F53:F58)</f>
        <v>5643.5399999999981</v>
      </c>
      <c r="G59" s="81">
        <f>SUM(G53:G58)</f>
        <v>4688.4999999999991</v>
      </c>
      <c r="H59" s="81">
        <f>SUM(H53:H58)</f>
        <v>4859.0900000000011</v>
      </c>
      <c r="I59" s="81">
        <f t="shared" ref="I59:M59" si="26">SUM(I53:I58)</f>
        <v>5268.6077798321039</v>
      </c>
      <c r="J59" s="81">
        <f t="shared" si="26"/>
        <v>5410.8261466111398</v>
      </c>
      <c r="K59" s="81">
        <f t="shared" si="26"/>
        <v>6301.0225934398413</v>
      </c>
      <c r="L59" s="81">
        <f t="shared" si="26"/>
        <v>6868.8906686852251</v>
      </c>
      <c r="M59" s="81">
        <f t="shared" si="26"/>
        <v>7461.649576592361</v>
      </c>
      <c r="O59" s="11"/>
    </row>
    <row r="60" spans="1:16" s="7" customFormat="1" ht="15.75" thickTop="1" x14ac:dyDescent="0.25">
      <c r="A60" s="83" t="s">
        <v>60</v>
      </c>
      <c r="B60" s="83"/>
      <c r="C60" s="83"/>
      <c r="D60" s="83"/>
      <c r="E60" s="84">
        <f>E40+E49+E59</f>
        <v>26510.019999999997</v>
      </c>
      <c r="F60" s="84">
        <f>F40+F49+F59</f>
        <v>33601.71</v>
      </c>
      <c r="G60" s="84">
        <f>G40+G49+G59</f>
        <v>35111.209999999992</v>
      </c>
      <c r="H60" s="84">
        <f>H40+H49+H59</f>
        <v>34163.69</v>
      </c>
      <c r="I60" s="84">
        <f t="shared" ref="I60:M60" si="27">I40+I49+I59</f>
        <v>36597.837474439897</v>
      </c>
      <c r="J60" s="84">
        <f t="shared" si="27"/>
        <v>39388.091178921022</v>
      </c>
      <c r="K60" s="84">
        <f>ROUND(K40+K49+K59,2)</f>
        <v>43269.19</v>
      </c>
      <c r="L60" s="84">
        <f t="shared" si="27"/>
        <v>47174.03249826761</v>
      </c>
      <c r="M60" s="84">
        <f t="shared" si="27"/>
        <v>51479.465946545643</v>
      </c>
      <c r="O60" s="11"/>
      <c r="P60" s="11"/>
    </row>
    <row r="62" spans="1:16" x14ac:dyDescent="0.25">
      <c r="E62" t="b">
        <f>IF(E60=E32,TRUE,E32-E60)</f>
        <v>1</v>
      </c>
      <c r="F62" t="b">
        <f>IF(F60=F32,TRUE,F32-F60)</f>
        <v>1</v>
      </c>
      <c r="G62" t="b">
        <f>IF(G60=G32,TRUE,G32-G60)</f>
        <v>1</v>
      </c>
      <c r="H62" t="b">
        <f>IF(H60=H32,TRUE,H32-H60)</f>
        <v>1</v>
      </c>
      <c r="I62" t="b">
        <f>IF(I60=I32,TRUE,I32-I60)</f>
        <v>1</v>
      </c>
      <c r="J62" t="b">
        <f t="shared" ref="J62:M62" si="28">IF(J60=J32,TRUE,J32-J60)</f>
        <v>1</v>
      </c>
      <c r="K62" t="b">
        <f>IF(ROUND(K60=K32,2),TRUE,K32-K60)</f>
        <v>1</v>
      </c>
      <c r="L62" t="b">
        <f t="shared" si="28"/>
        <v>1</v>
      </c>
      <c r="M62" t="b">
        <f t="shared" si="28"/>
        <v>1</v>
      </c>
      <c r="O62" s="38"/>
    </row>
  </sheetData>
  <pageMargins left="0.7" right="0.7" top="0.75" bottom="0.75" header="0.3" footer="0.3"/>
  <pageSetup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E7754D-C263-465F-82AF-82482C8859BA}">
  <dimension ref="A1:N80"/>
  <sheetViews>
    <sheetView showGridLines="0"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3.140625" customWidth="1"/>
    <col min="2" max="2" width="3.85546875" customWidth="1"/>
    <col min="3" max="3" width="39.140625" customWidth="1"/>
    <col min="4" max="4" width="4.42578125" customWidth="1"/>
    <col min="5" max="5" width="9.140625" customWidth="1"/>
    <col min="7" max="7" width="9.85546875" bestFit="1" customWidth="1"/>
  </cols>
  <sheetData>
    <row r="1" spans="1:13" ht="18.75" x14ac:dyDescent="0.3">
      <c r="A1" s="5" t="s">
        <v>82</v>
      </c>
    </row>
    <row r="2" spans="1:13" x14ac:dyDescent="0.25">
      <c r="A2" s="6" t="s">
        <v>7</v>
      </c>
    </row>
    <row r="3" spans="1:13" x14ac:dyDescent="0.25">
      <c r="A3" s="7" t="s">
        <v>8</v>
      </c>
      <c r="C3" s="7"/>
      <c r="E3" s="8" t="s">
        <v>143</v>
      </c>
      <c r="F3" s="8" t="s">
        <v>15</v>
      </c>
      <c r="G3" s="8" t="s">
        <v>14</v>
      </c>
      <c r="H3" s="8" t="s">
        <v>9</v>
      </c>
      <c r="I3" s="8" t="s">
        <v>13</v>
      </c>
      <c r="J3" s="8" t="s">
        <v>12</v>
      </c>
      <c r="K3" s="8" t="s">
        <v>11</v>
      </c>
      <c r="L3" s="8" t="s">
        <v>10</v>
      </c>
      <c r="M3" s="8" t="s">
        <v>195</v>
      </c>
    </row>
    <row r="4" spans="1:13" x14ac:dyDescent="0.25">
      <c r="A4" s="7" t="s">
        <v>83</v>
      </c>
    </row>
    <row r="5" spans="1:13" x14ac:dyDescent="0.25">
      <c r="A5" s="7"/>
      <c r="B5" s="7" t="s">
        <v>84</v>
      </c>
      <c r="C5" s="7"/>
      <c r="D5" s="7"/>
      <c r="E5" s="11">
        <v>6692.13</v>
      </c>
      <c r="F5" s="11">
        <v>6241.43</v>
      </c>
      <c r="G5" s="11">
        <v>7651.68</v>
      </c>
      <c r="H5" s="7">
        <v>7479.8700000000008</v>
      </c>
      <c r="I5" s="11">
        <f>'Income Statement'!I22</f>
        <v>8864.540864923516</v>
      </c>
      <c r="J5" s="11">
        <f>'Income Statement'!J22</f>
        <v>11628.541945342624</v>
      </c>
      <c r="K5" s="11">
        <f>'Income Statement'!K22</f>
        <v>13148.170549131204</v>
      </c>
      <c r="L5" s="11">
        <f>'Income Statement'!L22</f>
        <v>14681.946514035457</v>
      </c>
      <c r="M5" s="11">
        <f>'Income Statement'!M22</f>
        <v>16347.24322057377</v>
      </c>
    </row>
    <row r="6" spans="1:13" x14ac:dyDescent="0.25">
      <c r="B6" t="s">
        <v>85</v>
      </c>
    </row>
    <row r="7" spans="1:13" x14ac:dyDescent="0.25">
      <c r="A7" t="s">
        <v>86</v>
      </c>
    </row>
    <row r="8" spans="1:13" x14ac:dyDescent="0.25">
      <c r="B8" t="s">
        <v>87</v>
      </c>
      <c r="E8">
        <v>246.43</v>
      </c>
      <c r="F8">
        <v>259.37</v>
      </c>
      <c r="G8">
        <v>269.76</v>
      </c>
      <c r="H8">
        <v>274.83999999999997</v>
      </c>
      <c r="I8">
        <f>'Income Statement'!I13</f>
        <v>287.79840000000002</v>
      </c>
      <c r="J8">
        <f>'Income Statement'!J13</f>
        <v>308.79840000000002</v>
      </c>
      <c r="K8">
        <f>'Income Statement'!K13</f>
        <v>329.79840000000002</v>
      </c>
      <c r="L8">
        <f>'Income Statement'!L13</f>
        <v>353.79840000000002</v>
      </c>
      <c r="M8">
        <f>'Income Statement'!M13</f>
        <v>379.29840000000002</v>
      </c>
    </row>
    <row r="9" spans="1:13" x14ac:dyDescent="0.25">
      <c r="B9" t="s">
        <v>88</v>
      </c>
      <c r="E9">
        <v>13.7</v>
      </c>
      <c r="F9">
        <v>13.1</v>
      </c>
      <c r="G9">
        <v>8.8800000000000008</v>
      </c>
      <c r="H9">
        <v>9.9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25">
      <c r="B10" t="s">
        <v>89</v>
      </c>
      <c r="E10">
        <v>22.01</v>
      </c>
      <c r="F10">
        <v>16.149999999999999</v>
      </c>
      <c r="G10">
        <v>-4.4400000000000004</v>
      </c>
      <c r="H10">
        <v>-8.4400000000000013</v>
      </c>
      <c r="I10">
        <v>0</v>
      </c>
      <c r="J10">
        <v>0</v>
      </c>
      <c r="K10">
        <v>0</v>
      </c>
      <c r="L10">
        <v>0</v>
      </c>
      <c r="M10">
        <v>0</v>
      </c>
    </row>
    <row r="11" spans="1:13" x14ac:dyDescent="0.25">
      <c r="B11" t="s">
        <v>90</v>
      </c>
      <c r="E11">
        <v>10.01</v>
      </c>
      <c r="F11">
        <v>6.9</v>
      </c>
      <c r="G11">
        <v>15.36</v>
      </c>
      <c r="H11">
        <v>22.39</v>
      </c>
      <c r="I11">
        <v>0</v>
      </c>
      <c r="J11">
        <v>0</v>
      </c>
      <c r="K11">
        <v>0</v>
      </c>
      <c r="L11">
        <v>0</v>
      </c>
      <c r="M11">
        <v>0</v>
      </c>
    </row>
    <row r="12" spans="1:13" x14ac:dyDescent="0.25">
      <c r="B12" t="s">
        <v>93</v>
      </c>
      <c r="E12">
        <v>-2.16</v>
      </c>
      <c r="F12">
        <v>1.19</v>
      </c>
      <c r="G12">
        <v>-3.55</v>
      </c>
      <c r="H12">
        <v>10.069999999999997</v>
      </c>
      <c r="I12">
        <v>0</v>
      </c>
      <c r="J12">
        <v>0</v>
      </c>
      <c r="K12">
        <v>0</v>
      </c>
      <c r="L12">
        <v>0</v>
      </c>
      <c r="M12">
        <v>0</v>
      </c>
    </row>
    <row r="13" spans="1:13" x14ac:dyDescent="0.25">
      <c r="B13" t="s">
        <v>94</v>
      </c>
      <c r="E13">
        <v>-15.41</v>
      </c>
      <c r="F13">
        <v>-6.01</v>
      </c>
      <c r="G13">
        <v>2.39</v>
      </c>
      <c r="H13">
        <v>1.9900000000000011</v>
      </c>
      <c r="I13">
        <v>0</v>
      </c>
      <c r="J13">
        <v>0</v>
      </c>
      <c r="K13">
        <v>0</v>
      </c>
      <c r="L13">
        <v>0</v>
      </c>
      <c r="M13">
        <v>0</v>
      </c>
    </row>
    <row r="14" spans="1:13" x14ac:dyDescent="0.25">
      <c r="B14" t="s">
        <v>95</v>
      </c>
      <c r="E14">
        <v>-1.98</v>
      </c>
      <c r="F14">
        <v>0.1</v>
      </c>
      <c r="G14">
        <v>3.64</v>
      </c>
      <c r="H14">
        <v>3.64</v>
      </c>
      <c r="I14">
        <v>0</v>
      </c>
      <c r="J14">
        <v>0</v>
      </c>
      <c r="K14">
        <v>0</v>
      </c>
      <c r="L14">
        <v>0</v>
      </c>
      <c r="M14">
        <v>0</v>
      </c>
    </row>
    <row r="15" spans="1:13" x14ac:dyDescent="0.25">
      <c r="B15" t="s">
        <v>91</v>
      </c>
      <c r="E15">
        <v>1.06</v>
      </c>
      <c r="F15">
        <v>1.18</v>
      </c>
      <c r="G15">
        <v>1.31</v>
      </c>
      <c r="H15">
        <v>1.38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25">
      <c r="B16" t="s">
        <v>92</v>
      </c>
      <c r="E16">
        <v>2.1</v>
      </c>
      <c r="F16">
        <v>5.48</v>
      </c>
      <c r="G16">
        <v>7.35</v>
      </c>
      <c r="H16">
        <v>18.549999999999997</v>
      </c>
      <c r="I16" s="9">
        <f>'Income Statement'!I15</f>
        <v>14.439414365009387</v>
      </c>
      <c r="J16" s="9">
        <f>'Income Statement'!J15</f>
        <v>18.679342171632022</v>
      </c>
      <c r="K16" s="9">
        <f>'Income Statement'!K15</f>
        <v>23.588838994069096</v>
      </c>
      <c r="L16" s="9">
        <f>'Income Statement'!L15</f>
        <v>23.861634900078677</v>
      </c>
      <c r="M16" s="9">
        <f>'Income Statement'!M15</f>
        <v>27.467931957004048</v>
      </c>
    </row>
    <row r="17" spans="1:13" s="7" customFormat="1" x14ac:dyDescent="0.25">
      <c r="E17" s="7">
        <f>SUM(E8:E16)</f>
        <v>275.75999999999993</v>
      </c>
      <c r="F17" s="7">
        <f>SUM(F8:F16)</f>
        <v>297.46000000000004</v>
      </c>
      <c r="G17" s="7">
        <f>SUM(G8:G16)</f>
        <v>300.7</v>
      </c>
      <c r="H17" s="7">
        <f>SUM(H8:H16)</f>
        <v>334.31999999999994</v>
      </c>
      <c r="I17" s="7">
        <f t="shared" ref="I17:M17" si="0">SUM(I8:I16)</f>
        <v>302.2378143650094</v>
      </c>
      <c r="J17" s="7">
        <f t="shared" si="0"/>
        <v>327.47774217163203</v>
      </c>
      <c r="K17" s="7">
        <f t="shared" si="0"/>
        <v>353.38723899406909</v>
      </c>
      <c r="L17" s="7">
        <f t="shared" si="0"/>
        <v>377.6600349000787</v>
      </c>
      <c r="M17" s="7">
        <f t="shared" si="0"/>
        <v>406.76633195700407</v>
      </c>
    </row>
    <row r="18" spans="1:13" x14ac:dyDescent="0.25">
      <c r="A18" t="s">
        <v>96</v>
      </c>
    </row>
    <row r="19" spans="1:13" x14ac:dyDescent="0.25">
      <c r="B19" t="s">
        <v>97</v>
      </c>
    </row>
    <row r="20" spans="1:13" x14ac:dyDescent="0.25">
      <c r="B20" t="s">
        <v>98</v>
      </c>
      <c r="E20">
        <v>17.04</v>
      </c>
      <c r="F20">
        <v>65.77</v>
      </c>
      <c r="G20">
        <v>275.05</v>
      </c>
      <c r="H20">
        <v>306.83000000000004</v>
      </c>
      <c r="I20">
        <v>0</v>
      </c>
      <c r="J20">
        <v>0</v>
      </c>
      <c r="K20">
        <v>0</v>
      </c>
      <c r="L20">
        <v>0</v>
      </c>
      <c r="M20">
        <v>0</v>
      </c>
    </row>
    <row r="21" spans="1:13" x14ac:dyDescent="0.25">
      <c r="B21" t="s">
        <v>99</v>
      </c>
      <c r="E21">
        <v>28.9</v>
      </c>
      <c r="F21">
        <v>17.87</v>
      </c>
      <c r="G21">
        <v>36.42</v>
      </c>
      <c r="H21">
        <v>55.35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B22" t="s">
        <v>100</v>
      </c>
      <c r="E22">
        <v>0</v>
      </c>
      <c r="F22">
        <v>76.849999999999994</v>
      </c>
      <c r="G22">
        <v>204.68</v>
      </c>
      <c r="H22">
        <v>295.12</v>
      </c>
      <c r="I22">
        <v>0</v>
      </c>
      <c r="J22">
        <v>0</v>
      </c>
      <c r="K22">
        <v>0</v>
      </c>
      <c r="L22">
        <v>0</v>
      </c>
      <c r="M22">
        <v>0</v>
      </c>
    </row>
    <row r="23" spans="1:13" x14ac:dyDescent="0.25">
      <c r="B23" t="s">
        <v>101</v>
      </c>
      <c r="E23">
        <v>903.55</v>
      </c>
      <c r="F23">
        <v>842.51</v>
      </c>
      <c r="G23">
        <v>388.93</v>
      </c>
      <c r="H23">
        <v>180.55</v>
      </c>
      <c r="I23">
        <v>0</v>
      </c>
      <c r="J23">
        <v>0</v>
      </c>
      <c r="K23">
        <v>0</v>
      </c>
      <c r="L23">
        <v>0</v>
      </c>
      <c r="M23">
        <v>0</v>
      </c>
    </row>
    <row r="24" spans="1:13" x14ac:dyDescent="0.25">
      <c r="B24" t="s">
        <v>102</v>
      </c>
      <c r="E24">
        <v>19.53</v>
      </c>
      <c r="F24">
        <v>15.74</v>
      </c>
      <c r="G24">
        <v>110.62</v>
      </c>
      <c r="H24">
        <v>136.54000000000002</v>
      </c>
      <c r="I24">
        <v>0</v>
      </c>
      <c r="J24">
        <v>0</v>
      </c>
      <c r="K24">
        <v>0</v>
      </c>
      <c r="L24">
        <v>0</v>
      </c>
      <c r="M24">
        <v>0</v>
      </c>
    </row>
    <row r="25" spans="1:13" x14ac:dyDescent="0.25">
      <c r="B25" t="s">
        <v>104</v>
      </c>
      <c r="E25">
        <v>462.7</v>
      </c>
      <c r="F25">
        <v>254.25</v>
      </c>
      <c r="G25">
        <v>188.75</v>
      </c>
      <c r="H25">
        <v>59.319999999999993</v>
      </c>
      <c r="I25">
        <v>0</v>
      </c>
      <c r="J25">
        <v>0</v>
      </c>
      <c r="K25">
        <v>0</v>
      </c>
      <c r="L25">
        <v>0</v>
      </c>
      <c r="M25">
        <v>0</v>
      </c>
    </row>
    <row r="26" spans="1:13" x14ac:dyDescent="0.25">
      <c r="B26" t="s">
        <v>103</v>
      </c>
      <c r="E26">
        <v>25.38</v>
      </c>
      <c r="F26">
        <v>0</v>
      </c>
      <c r="G26">
        <v>45.5</v>
      </c>
      <c r="H26">
        <v>47.25</v>
      </c>
      <c r="I26">
        <v>0</v>
      </c>
      <c r="J26">
        <v>0</v>
      </c>
      <c r="K26">
        <v>0</v>
      </c>
      <c r="L26">
        <v>0</v>
      </c>
      <c r="M26">
        <v>0</v>
      </c>
    </row>
    <row r="27" spans="1:13" x14ac:dyDescent="0.25">
      <c r="B27" t="s">
        <v>105</v>
      </c>
      <c r="E27">
        <v>18.239999999999998</v>
      </c>
      <c r="F27">
        <v>-5.57</v>
      </c>
      <c r="G27">
        <v>-17.670000000000002</v>
      </c>
      <c r="H27">
        <v>-10.63</v>
      </c>
      <c r="I27">
        <v>0</v>
      </c>
      <c r="J27">
        <v>0</v>
      </c>
      <c r="K27">
        <v>0</v>
      </c>
      <c r="L27">
        <v>0</v>
      </c>
      <c r="M27">
        <v>0</v>
      </c>
    </row>
    <row r="28" spans="1:13" s="7" customFormat="1" x14ac:dyDescent="0.25">
      <c r="E28" s="7">
        <f>SUM(E20:E27)</f>
        <v>1475.3400000000001</v>
      </c>
      <c r="F28" s="7">
        <f>SUM(F20:F27)</f>
        <v>1267.42</v>
      </c>
      <c r="G28" s="7">
        <f>SUM(G20:G27)</f>
        <v>1232.2800000000002</v>
      </c>
      <c r="H28" s="7">
        <f>SUM(H20:H27)</f>
        <v>1070.33</v>
      </c>
      <c r="I28" s="7">
        <f t="shared" ref="I28:M28" si="1">SUM(I20:I27)</f>
        <v>0</v>
      </c>
      <c r="J28" s="7">
        <f t="shared" si="1"/>
        <v>0</v>
      </c>
      <c r="K28" s="7">
        <f t="shared" si="1"/>
        <v>0</v>
      </c>
      <c r="L28" s="7">
        <f t="shared" si="1"/>
        <v>0</v>
      </c>
      <c r="M28" s="7">
        <f t="shared" si="1"/>
        <v>0</v>
      </c>
    </row>
    <row r="29" spans="1:13" x14ac:dyDescent="0.25">
      <c r="B29" t="s">
        <v>106</v>
      </c>
      <c r="E29">
        <v>321.51</v>
      </c>
      <c r="F29">
        <v>306.32</v>
      </c>
      <c r="G29">
        <v>579.53</v>
      </c>
      <c r="H29">
        <v>401.43999999999994</v>
      </c>
      <c r="I29">
        <f>'Income Statement'!I19</f>
        <v>401.43999999999994</v>
      </c>
      <c r="J29">
        <f>'Income Statement'!J19</f>
        <v>421.51199999999994</v>
      </c>
      <c r="K29">
        <f>'Income Statement'!K19</f>
        <v>434.15735999999993</v>
      </c>
      <c r="L29">
        <f>'Income Statement'!L19</f>
        <v>447.18208079999994</v>
      </c>
      <c r="M29">
        <f>'Income Statement'!M19</f>
        <v>460.59754322399993</v>
      </c>
    </row>
    <row r="30" spans="1:13" x14ac:dyDescent="0.25">
      <c r="B30" t="s">
        <v>107</v>
      </c>
      <c r="E30">
        <v>0.54</v>
      </c>
      <c r="F30">
        <v>2.65</v>
      </c>
      <c r="G30">
        <v>2.65</v>
      </c>
      <c r="H30">
        <v>2.65</v>
      </c>
      <c r="I30">
        <v>0</v>
      </c>
      <c r="J30">
        <v>0</v>
      </c>
      <c r="K30">
        <v>0</v>
      </c>
      <c r="L30">
        <v>0</v>
      </c>
      <c r="M30">
        <v>0</v>
      </c>
    </row>
    <row r="31" spans="1:13" x14ac:dyDescent="0.25">
      <c r="B31" t="s">
        <v>108</v>
      </c>
      <c r="E31">
        <v>2.65</v>
      </c>
      <c r="F31">
        <v>0</v>
      </c>
      <c r="G31">
        <v>816.51</v>
      </c>
      <c r="H31">
        <v>315.27999999999997</v>
      </c>
      <c r="I31">
        <v>0</v>
      </c>
      <c r="J31">
        <v>0</v>
      </c>
      <c r="K31">
        <v>0</v>
      </c>
      <c r="L31">
        <v>0</v>
      </c>
      <c r="M31">
        <v>0</v>
      </c>
    </row>
    <row r="32" spans="1:13" x14ac:dyDescent="0.25">
      <c r="B32" t="s">
        <v>109</v>
      </c>
      <c r="E32">
        <v>5.28</v>
      </c>
      <c r="F32">
        <v>1.94</v>
      </c>
      <c r="G32">
        <v>21.59</v>
      </c>
      <c r="H32">
        <v>128.02000000000001</v>
      </c>
      <c r="I32">
        <v>0</v>
      </c>
      <c r="J32">
        <v>0</v>
      </c>
      <c r="K32">
        <v>0</v>
      </c>
      <c r="L32">
        <v>0</v>
      </c>
      <c r="M32">
        <v>0</v>
      </c>
    </row>
    <row r="33" spans="1:14" s="7" customFormat="1" x14ac:dyDescent="0.25">
      <c r="E33" s="11">
        <f>-(E28+SUM(E29:E32))</f>
        <v>-1805.3200000000002</v>
      </c>
      <c r="F33" s="11">
        <f>-(F28+SUM(F29:F32))</f>
        <v>-1578.33</v>
      </c>
      <c r="G33" s="11">
        <f>-(G28+SUM(G29:G32))</f>
        <v>-2652.5600000000004</v>
      </c>
      <c r="H33" s="11">
        <f>-(H28+SUM(H29:H32))</f>
        <v>-1917.7199999999998</v>
      </c>
      <c r="I33" s="11">
        <f t="shared" ref="I33:M33" si="2">-(I28+SUM(I29:I32))</f>
        <v>-401.43999999999994</v>
      </c>
      <c r="J33" s="11">
        <f t="shared" si="2"/>
        <v>-421.51199999999994</v>
      </c>
      <c r="K33" s="11">
        <f t="shared" si="2"/>
        <v>-434.15735999999993</v>
      </c>
      <c r="L33" s="11">
        <f t="shared" si="2"/>
        <v>-447.18208079999994</v>
      </c>
      <c r="M33" s="11">
        <f t="shared" si="2"/>
        <v>-460.59754322399993</v>
      </c>
    </row>
    <row r="34" spans="1:14" s="7" customFormat="1" x14ac:dyDescent="0.25">
      <c r="A34" s="7" t="s">
        <v>118</v>
      </c>
      <c r="E34" s="11">
        <f>E5+E17+E33</f>
        <v>5162.57</v>
      </c>
      <c r="F34" s="11">
        <f>F5+F17+F33</f>
        <v>4960.5600000000004</v>
      </c>
      <c r="G34" s="11">
        <f>G5+G17+G33</f>
        <v>5299.82</v>
      </c>
      <c r="H34" s="11">
        <f>H5+H17+H33</f>
        <v>5896.4700000000012</v>
      </c>
      <c r="I34" s="11">
        <f>I5+I17+I33</f>
        <v>8765.3386792885249</v>
      </c>
      <c r="J34" s="11">
        <f t="shared" ref="J34:M34" si="3">J5+J17+J33</f>
        <v>11534.507687514255</v>
      </c>
      <c r="K34" s="11">
        <f t="shared" si="3"/>
        <v>13067.400428125275</v>
      </c>
      <c r="L34" s="11">
        <f t="shared" si="3"/>
        <v>14612.424468135536</v>
      </c>
      <c r="M34" s="11">
        <f t="shared" si="3"/>
        <v>16293.412009306774</v>
      </c>
    </row>
    <row r="35" spans="1:14" x14ac:dyDescent="0.25">
      <c r="A35" t="s">
        <v>110</v>
      </c>
    </row>
    <row r="36" spans="1:14" x14ac:dyDescent="0.25">
      <c r="B36" t="s">
        <v>111</v>
      </c>
      <c r="E36">
        <v>-101.99</v>
      </c>
      <c r="F36">
        <v>-430.39</v>
      </c>
      <c r="G36">
        <v>263.38</v>
      </c>
      <c r="H36">
        <v>-140.94</v>
      </c>
      <c r="I36">
        <f>'Balance Sheet'!H22-'Balance Sheet'!I22</f>
        <v>-384.16356441676385</v>
      </c>
      <c r="J36">
        <f>'Balance Sheet'!I22-'Balance Sheet'!J22</f>
        <v>-128.76496811071797</v>
      </c>
      <c r="K36">
        <f>'Balance Sheet'!J22-'Balance Sheet'!K22</f>
        <v>-301.83538229305668</v>
      </c>
      <c r="L36">
        <f>'Balance Sheet'!K22-'Balance Sheet'!L22</f>
        <v>-296.49523855684765</v>
      </c>
      <c r="M36">
        <f>'Balance Sheet'!L22-'Balance Sheet'!M22</f>
        <v>-235.91533563369194</v>
      </c>
    </row>
    <row r="37" spans="1:14" x14ac:dyDescent="0.25">
      <c r="B37" t="s">
        <v>113</v>
      </c>
      <c r="E37">
        <v>828.53</v>
      </c>
      <c r="F37" s="9">
        <v>-1001.89</v>
      </c>
      <c r="G37" s="9">
        <v>1202.52</v>
      </c>
      <c r="H37">
        <v>108.03999999999996</v>
      </c>
      <c r="I37">
        <f>'Balance Sheet'!H25-'Balance Sheet'!I25</f>
        <v>-639.89201784547959</v>
      </c>
      <c r="J37">
        <f>'Balance Sheet'!I25-'Balance Sheet'!J25</f>
        <v>-101.78745319264681</v>
      </c>
      <c r="K37">
        <f>'Balance Sheet'!J25-'Balance Sheet'!K25</f>
        <v>-286.77641418368057</v>
      </c>
      <c r="L37">
        <f>'Balance Sheet'!K25-'Balance Sheet'!L25</f>
        <v>-398.57839323991448</v>
      </c>
      <c r="M37">
        <f>'Balance Sheet'!L25-'Balance Sheet'!M25</f>
        <v>-245.2175280507704</v>
      </c>
    </row>
    <row r="38" spans="1:14" x14ac:dyDescent="0.25">
      <c r="B38" t="s">
        <v>114</v>
      </c>
      <c r="E38">
        <v>398.53</v>
      </c>
      <c r="F38">
        <v>-551.88</v>
      </c>
      <c r="G38">
        <v>76.819999999999993</v>
      </c>
      <c r="H38">
        <v>63.66</v>
      </c>
      <c r="I38" s="9">
        <f>(SUM('Balance Sheet'!H28:H30)-SUM('Balance Sheet'!I28:I30))+(SUM('Balance Sheet'!H13:H18)-SUM('Balance Sheet'!I13:I18))</f>
        <v>0</v>
      </c>
      <c r="J38" s="9">
        <f>(SUM('Balance Sheet'!I28:I30)-SUM('Balance Sheet'!J28:J30))+(SUM('Balance Sheet'!I13:I18)-SUM('Balance Sheet'!J13:J18))</f>
        <v>0</v>
      </c>
      <c r="K38" s="9">
        <f>(SUM('Balance Sheet'!J28:J30)-SUM('Balance Sheet'!K28:K30))+(SUM('Balance Sheet'!J13:J18)-SUM('Balance Sheet'!K13:K18))</f>
        <v>0</v>
      </c>
      <c r="L38" s="9">
        <f>(SUM('Balance Sheet'!K28:K30)-SUM('Balance Sheet'!L28:L30))+(SUM('Balance Sheet'!K13:K18)-SUM('Balance Sheet'!L13:L18))</f>
        <v>0</v>
      </c>
      <c r="M38" s="9">
        <f>(SUM('Balance Sheet'!L28:L30)-SUM('Balance Sheet'!M28:M30))+(SUM('Balance Sheet'!L13:L18)-SUM('Balance Sheet'!M13:M18))</f>
        <v>0</v>
      </c>
    </row>
    <row r="39" spans="1:14" x14ac:dyDescent="0.25">
      <c r="B39" t="s">
        <v>112</v>
      </c>
      <c r="E39">
        <v>-759.28</v>
      </c>
      <c r="F39" s="9">
        <v>1483.52</v>
      </c>
      <c r="G39">
        <v>-943.47</v>
      </c>
      <c r="H39">
        <v>148.20999999999992</v>
      </c>
      <c r="I39" s="9">
        <f>(SUM('Balance Sheet'!I53:I58)-SUM('Balance Sheet'!H53:H58))+(SUM('Balance Sheet'!I44:I48)-SUM('Balance Sheet'!H44:H48))</f>
        <v>409.51777983210286</v>
      </c>
      <c r="J39" s="9">
        <f>(SUM('Balance Sheet'!J53:J58)-SUM('Balance Sheet'!I53:I58))+(SUM('Balance Sheet'!J44:J48)-SUM('Balance Sheet'!I44:I48))</f>
        <v>142.21836677903593</v>
      </c>
      <c r="K39" s="9">
        <f>(SUM('Balance Sheet'!K53:K58)-SUM('Balance Sheet'!J53:J58))+(SUM('Balance Sheet'!K44:K48)-SUM('Balance Sheet'!J44:J48))</f>
        <v>890.19644682870148</v>
      </c>
      <c r="L39" s="9">
        <f>(SUM('Balance Sheet'!L53:L58)-SUM('Balance Sheet'!K53:K58))+(SUM('Balance Sheet'!L44:L48)-SUM('Balance Sheet'!K44:K48))</f>
        <v>567.86807524538381</v>
      </c>
      <c r="M39" s="9">
        <f>(SUM('Balance Sheet'!M53:M58)-SUM('Balance Sheet'!L53:L58))+(SUM('Balance Sheet'!M44:M48)-SUM('Balance Sheet'!L44:L48))</f>
        <v>592.75890790713584</v>
      </c>
      <c r="N39" s="9"/>
    </row>
    <row r="40" spans="1:14" s="7" customFormat="1" x14ac:dyDescent="0.25">
      <c r="A40" s="7" t="s">
        <v>119</v>
      </c>
      <c r="E40" s="7">
        <f>SUM(E36:E39)</f>
        <v>365.78999999999996</v>
      </c>
      <c r="F40" s="7">
        <f>SUM(F36:F39)</f>
        <v>-500.63999999999987</v>
      </c>
      <c r="G40" s="7">
        <f>SUM(G36:G39)</f>
        <v>599.25</v>
      </c>
      <c r="H40" s="7">
        <f>SUM(H36:H39)</f>
        <v>178.96999999999989</v>
      </c>
      <c r="I40" s="21">
        <f t="shared" ref="I40:M40" si="4">SUM(I36:I39)</f>
        <v>-614.53780243014057</v>
      </c>
      <c r="J40" s="21">
        <f t="shared" si="4"/>
        <v>-88.334054524328849</v>
      </c>
      <c r="K40" s="21">
        <f t="shared" si="4"/>
        <v>301.58465035196423</v>
      </c>
      <c r="L40" s="21">
        <f t="shared" si="4"/>
        <v>-127.20555655137832</v>
      </c>
      <c r="M40" s="21">
        <f t="shared" si="4"/>
        <v>111.6260442226735</v>
      </c>
    </row>
    <row r="41" spans="1:14" x14ac:dyDescent="0.25">
      <c r="B41" t="s">
        <v>117</v>
      </c>
      <c r="E41">
        <v>-0.26</v>
      </c>
      <c r="F41">
        <v>-0.35</v>
      </c>
      <c r="G41">
        <v>-0.32</v>
      </c>
      <c r="H41">
        <v>-0.30000000000000004</v>
      </c>
      <c r="I41">
        <v>0</v>
      </c>
      <c r="J41">
        <v>0</v>
      </c>
      <c r="K41">
        <v>0</v>
      </c>
      <c r="L41">
        <v>0</v>
      </c>
      <c r="M41">
        <v>0</v>
      </c>
    </row>
    <row r="42" spans="1:14" s="7" customFormat="1" x14ac:dyDescent="0.25">
      <c r="A42" s="20" t="s">
        <v>115</v>
      </c>
      <c r="B42" s="20"/>
      <c r="C42" s="20"/>
      <c r="D42" s="20"/>
      <c r="E42" s="81">
        <f>E34+E40+E41</f>
        <v>5528.0999999999995</v>
      </c>
      <c r="F42" s="81">
        <f>F34+F40+F41</f>
        <v>4459.57</v>
      </c>
      <c r="G42" s="81">
        <f>G34+G40+G41</f>
        <v>5898.75</v>
      </c>
      <c r="H42" s="81">
        <f>H34+H40+H41</f>
        <v>6075.1400000000012</v>
      </c>
      <c r="I42" s="81">
        <f t="shared" ref="I42:M42" si="5">I34+I40+I41</f>
        <v>8150.8008768583841</v>
      </c>
      <c r="J42" s="81">
        <f t="shared" si="5"/>
        <v>11446.173632989927</v>
      </c>
      <c r="K42" s="81">
        <f t="shared" si="5"/>
        <v>13368.985078477239</v>
      </c>
      <c r="L42" s="81">
        <f t="shared" si="5"/>
        <v>14485.218911584157</v>
      </c>
      <c r="M42" s="81">
        <f t="shared" si="5"/>
        <v>16405.038053529446</v>
      </c>
    </row>
    <row r="43" spans="1:14" x14ac:dyDescent="0.25">
      <c r="B43" t="s">
        <v>116</v>
      </c>
      <c r="E43" s="9">
        <v>-1677.66</v>
      </c>
      <c r="F43" s="9">
        <v>-1339.69</v>
      </c>
      <c r="G43" s="9">
        <v>-1701.54</v>
      </c>
      <c r="H43">
        <v>-1842.73</v>
      </c>
      <c r="I43" s="9">
        <f>-'Income Statement'!I26</f>
        <v>-2115.7752162308789</v>
      </c>
      <c r="J43" s="9">
        <f>-'Income Statement'!J26</f>
        <v>-2801.7574863356558</v>
      </c>
      <c r="K43" s="9">
        <f>-'Income Statement'!K26</f>
        <v>-3178.5032972828012</v>
      </c>
      <c r="L43" s="9">
        <f>-'Income Statement'!L26</f>
        <v>-3558.6911083088644</v>
      </c>
      <c r="M43" s="9">
        <f>-'Income Statement'!M26</f>
        <v>-3971.6614193374426</v>
      </c>
    </row>
    <row r="44" spans="1:14" s="7" customFormat="1" x14ac:dyDescent="0.25">
      <c r="A44" s="20" t="s">
        <v>120</v>
      </c>
      <c r="B44" s="20"/>
      <c r="C44" s="20"/>
      <c r="D44" s="20"/>
      <c r="E44" s="81">
        <f>E42+E43</f>
        <v>3850.4399999999996</v>
      </c>
      <c r="F44" s="81">
        <f>F42+F43</f>
        <v>3119.8799999999997</v>
      </c>
      <c r="G44" s="81">
        <f>G42+G43</f>
        <v>4197.21</v>
      </c>
      <c r="H44" s="81">
        <f>H42+H43</f>
        <v>4232.4100000000017</v>
      </c>
      <c r="I44" s="81">
        <f t="shared" ref="I44:M44" si="6">I42+I43</f>
        <v>6035.0256606275052</v>
      </c>
      <c r="J44" s="81">
        <f t="shared" si="6"/>
        <v>8644.4161466542719</v>
      </c>
      <c r="K44" s="81">
        <f t="shared" si="6"/>
        <v>10190.481781194438</v>
      </c>
      <c r="L44" s="81">
        <f t="shared" si="6"/>
        <v>10926.527803275294</v>
      </c>
      <c r="M44" s="81">
        <f t="shared" si="6"/>
        <v>12433.376634192004</v>
      </c>
    </row>
    <row r="46" spans="1:14" x14ac:dyDescent="0.25">
      <c r="A46" s="7" t="s">
        <v>121</v>
      </c>
    </row>
    <row r="47" spans="1:14" x14ac:dyDescent="0.25">
      <c r="B47" t="s">
        <v>122</v>
      </c>
      <c r="E47" s="9">
        <v>5178.9399999999996</v>
      </c>
      <c r="F47" s="9">
        <v>3555.72</v>
      </c>
      <c r="G47" s="9">
        <v>11526.59</v>
      </c>
      <c r="H47">
        <v>10307.710000000001</v>
      </c>
      <c r="I47" s="9">
        <v>0</v>
      </c>
      <c r="J47" s="9">
        <v>0</v>
      </c>
      <c r="K47" s="9">
        <v>0</v>
      </c>
      <c r="L47" s="9">
        <v>0</v>
      </c>
      <c r="M47" s="9">
        <v>0</v>
      </c>
    </row>
    <row r="48" spans="1:14" x14ac:dyDescent="0.25">
      <c r="B48" t="s">
        <v>123</v>
      </c>
      <c r="E48" s="9">
        <v>-3517.96</v>
      </c>
      <c r="F48" s="9">
        <v>-5888.39</v>
      </c>
      <c r="G48" s="9">
        <v>-11083.79</v>
      </c>
      <c r="H48">
        <v>-7448.5100000000011</v>
      </c>
      <c r="I48" s="9">
        <v>0</v>
      </c>
      <c r="J48" s="9">
        <v>0</v>
      </c>
      <c r="K48" s="9">
        <v>0</v>
      </c>
      <c r="L48" s="9">
        <v>0</v>
      </c>
      <c r="M48" s="9">
        <v>0</v>
      </c>
    </row>
    <row r="49" spans="1:14" x14ac:dyDescent="0.25">
      <c r="B49" t="s">
        <v>124</v>
      </c>
      <c r="E49">
        <v>166.96</v>
      </c>
      <c r="F49">
        <v>-351.28</v>
      </c>
      <c r="G49">
        <v>-209.44</v>
      </c>
      <c r="H49">
        <v>332.3399999999998</v>
      </c>
      <c r="I49">
        <v>0</v>
      </c>
      <c r="J49">
        <v>0</v>
      </c>
      <c r="K49">
        <v>0</v>
      </c>
      <c r="L49">
        <v>0</v>
      </c>
      <c r="M49">
        <v>0</v>
      </c>
    </row>
    <row r="50" spans="1:14" x14ac:dyDescent="0.25">
      <c r="B50" t="s">
        <v>125</v>
      </c>
      <c r="E50">
        <v>-26.62</v>
      </c>
      <c r="F50">
        <v>-5.52</v>
      </c>
      <c r="G50">
        <v>-37.369999999999997</v>
      </c>
      <c r="H50">
        <v>-37.369999999999997</v>
      </c>
      <c r="I50">
        <v>0</v>
      </c>
      <c r="J50">
        <v>0</v>
      </c>
      <c r="K50">
        <v>0</v>
      </c>
      <c r="L50">
        <v>0</v>
      </c>
      <c r="M50">
        <v>0</v>
      </c>
    </row>
    <row r="51" spans="1:14" x14ac:dyDescent="0.25">
      <c r="B51" t="s">
        <v>127</v>
      </c>
      <c r="E51">
        <v>-13.51</v>
      </c>
      <c r="F51">
        <v>8.7100000000000009</v>
      </c>
      <c r="G51">
        <v>-2.14</v>
      </c>
      <c r="H51">
        <v>-55.150000000000006</v>
      </c>
      <c r="I51">
        <v>0</v>
      </c>
      <c r="J51">
        <v>0</v>
      </c>
      <c r="K51">
        <v>0</v>
      </c>
      <c r="L51">
        <v>0</v>
      </c>
      <c r="M51">
        <v>0</v>
      </c>
    </row>
    <row r="52" spans="1:14" x14ac:dyDescent="0.25">
      <c r="B52" t="s">
        <v>126</v>
      </c>
      <c r="E52">
        <v>-282.81</v>
      </c>
      <c r="F52">
        <v>-244.06</v>
      </c>
      <c r="G52">
        <v>-550.75</v>
      </c>
      <c r="H52">
        <v>-760.42000000000007</v>
      </c>
      <c r="I52" s="12">
        <f>-((Capex!I12-Capex!H12)+('Balance Sheet'!I7-'Balance Sheet'!H7))</f>
        <v>-124.39228999999997</v>
      </c>
      <c r="J52" s="12">
        <f>-((Capex!J12-Capex!I12)+('Balance Sheet'!J7-'Balance Sheet'!I7))</f>
        <v>-351.03003999999999</v>
      </c>
      <c r="K52" s="12">
        <f>-((Capex!K12-Capex!J12)+('Balance Sheet'!K7-'Balance Sheet'!J7))</f>
        <v>-401.75504000000001</v>
      </c>
      <c r="L52" s="12">
        <f>-((Capex!L12-Capex!K12)+('Balance Sheet'!L7-'Balance Sheet'!K7))</f>
        <v>-426.78003999999999</v>
      </c>
      <c r="M52" s="12">
        <f>-((Capex!M12-Capex!L12)+('Balance Sheet'!M7-'Balance Sheet'!L7))</f>
        <v>-503.01754</v>
      </c>
      <c r="N52" s="10"/>
    </row>
    <row r="53" spans="1:14" x14ac:dyDescent="0.25">
      <c r="B53" t="s">
        <v>128</v>
      </c>
      <c r="E53">
        <v>16.739999999999998</v>
      </c>
      <c r="F53">
        <v>5.71</v>
      </c>
      <c r="G53">
        <v>33.07</v>
      </c>
      <c r="H53">
        <v>156.41</v>
      </c>
      <c r="I53">
        <v>0</v>
      </c>
      <c r="J53">
        <v>0</v>
      </c>
      <c r="K53">
        <v>0</v>
      </c>
      <c r="L53">
        <v>0</v>
      </c>
      <c r="M53">
        <v>0</v>
      </c>
    </row>
    <row r="54" spans="1:14" x14ac:dyDescent="0.25">
      <c r="B54" t="s">
        <v>129</v>
      </c>
      <c r="E54">
        <v>-13.93</v>
      </c>
      <c r="F54">
        <v>-15.53</v>
      </c>
      <c r="G54">
        <v>0</v>
      </c>
      <c r="H54">
        <v>-35.729999999999997</v>
      </c>
      <c r="I54" s="9">
        <f>'Balance Sheet'!H9-'Balance Sheet'!I9</f>
        <v>-4.0578320000000048</v>
      </c>
      <c r="J54" s="9">
        <f>'Balance Sheet'!I9-'Balance Sheet'!J9</f>
        <v>-0.82403199999999543</v>
      </c>
      <c r="K54" s="9">
        <f>'Balance Sheet'!J9-'Balance Sheet'!K9</f>
        <v>-1.4040319999999937</v>
      </c>
      <c r="L54" s="9">
        <f>'Balance Sheet'!K9-'Balance Sheet'!L9</f>
        <v>-1.4240320000000111</v>
      </c>
      <c r="M54" s="9">
        <f>'Balance Sheet'!L9-'Balance Sheet'!M9</f>
        <v>-2.414032000000006</v>
      </c>
    </row>
    <row r="55" spans="1:14" x14ac:dyDescent="0.25">
      <c r="E55" s="11">
        <f>SUM(E47:E54)</f>
        <v>1507.8099999999997</v>
      </c>
      <c r="F55" s="11">
        <f>SUM(F47:F54)</f>
        <v>-2934.6400000000008</v>
      </c>
      <c r="G55" s="11">
        <f>SUM(G47:G54)</f>
        <v>-323.83000000000072</v>
      </c>
      <c r="H55" s="11">
        <f>SUM(H47:H54)</f>
        <v>2459.2799999999993</v>
      </c>
      <c r="I55" s="11">
        <f t="shared" ref="I55:M55" si="7">SUM(I47:I54)</f>
        <v>-128.45012199999996</v>
      </c>
      <c r="J55" s="11">
        <f t="shared" si="7"/>
        <v>-351.85407199999997</v>
      </c>
      <c r="K55" s="11">
        <f t="shared" si="7"/>
        <v>-403.15907199999998</v>
      </c>
      <c r="L55" s="11">
        <f t="shared" si="7"/>
        <v>-428.204072</v>
      </c>
      <c r="M55" s="11">
        <f t="shared" si="7"/>
        <v>-505.43157200000002</v>
      </c>
    </row>
    <row r="56" spans="1:14" x14ac:dyDescent="0.25">
      <c r="B56" t="s">
        <v>130</v>
      </c>
    </row>
    <row r="57" spans="1:14" x14ac:dyDescent="0.25">
      <c r="C57" t="s">
        <v>98</v>
      </c>
      <c r="E57">
        <v>17.04</v>
      </c>
      <c r="F57">
        <v>65.77</v>
      </c>
      <c r="G57">
        <v>275.05</v>
      </c>
      <c r="H57">
        <v>306.83000000000004</v>
      </c>
      <c r="I57">
        <v>0</v>
      </c>
      <c r="J57">
        <v>0</v>
      </c>
      <c r="K57">
        <v>0</v>
      </c>
      <c r="L57">
        <v>0</v>
      </c>
      <c r="M57">
        <v>0</v>
      </c>
    </row>
    <row r="58" spans="1:14" x14ac:dyDescent="0.25">
      <c r="C58" t="s">
        <v>99</v>
      </c>
      <c r="E58">
        <v>28.9</v>
      </c>
      <c r="F58">
        <v>17.87</v>
      </c>
      <c r="G58">
        <v>36.42</v>
      </c>
      <c r="H58">
        <v>55.35</v>
      </c>
      <c r="I58">
        <v>0</v>
      </c>
      <c r="J58">
        <v>0</v>
      </c>
      <c r="K58">
        <v>0</v>
      </c>
      <c r="L58">
        <v>0</v>
      </c>
      <c r="M58">
        <v>0</v>
      </c>
    </row>
    <row r="59" spans="1:14" x14ac:dyDescent="0.25">
      <c r="C59" t="s">
        <v>103</v>
      </c>
      <c r="E59">
        <v>25.38</v>
      </c>
      <c r="F59">
        <v>0</v>
      </c>
      <c r="G59">
        <v>45.5</v>
      </c>
      <c r="H59">
        <v>47.25</v>
      </c>
      <c r="I59">
        <v>0</v>
      </c>
      <c r="J59">
        <v>0</v>
      </c>
      <c r="K59">
        <v>0</v>
      </c>
      <c r="L59">
        <v>0</v>
      </c>
      <c r="M59">
        <v>0</v>
      </c>
    </row>
    <row r="60" spans="1:14" x14ac:dyDescent="0.25">
      <c r="E60" s="7">
        <f>SUM(E57:E59)</f>
        <v>71.319999999999993</v>
      </c>
      <c r="F60" s="7">
        <f>SUM(F57:F59)</f>
        <v>83.64</v>
      </c>
      <c r="G60" s="7">
        <f>SUM(G57:G59)</f>
        <v>356.97</v>
      </c>
      <c r="H60" s="7">
        <f>SUM(H57:H59)</f>
        <v>409.43000000000006</v>
      </c>
      <c r="I60" s="7">
        <f t="shared" ref="I60:M60" si="8">SUM(I57:I59)</f>
        <v>0</v>
      </c>
      <c r="J60" s="7">
        <f t="shared" si="8"/>
        <v>0</v>
      </c>
      <c r="K60" s="7">
        <f t="shared" si="8"/>
        <v>0</v>
      </c>
      <c r="L60" s="7">
        <f t="shared" si="8"/>
        <v>0</v>
      </c>
      <c r="M60" s="7">
        <f t="shared" si="8"/>
        <v>0</v>
      </c>
    </row>
    <row r="61" spans="1:14" x14ac:dyDescent="0.25">
      <c r="B61" t="s">
        <v>131</v>
      </c>
      <c r="E61">
        <v>-23.04</v>
      </c>
      <c r="F61">
        <v>-17.36</v>
      </c>
      <c r="G61">
        <v>-114</v>
      </c>
      <c r="H61">
        <v>-10.850000000000007</v>
      </c>
      <c r="I61">
        <v>0</v>
      </c>
      <c r="J61">
        <v>0</v>
      </c>
      <c r="K61">
        <v>0</v>
      </c>
      <c r="L61">
        <v>0</v>
      </c>
      <c r="M61">
        <v>0</v>
      </c>
    </row>
    <row r="62" spans="1:14" x14ac:dyDescent="0.25">
      <c r="E62" s="7">
        <f>E60+E61</f>
        <v>48.279999999999994</v>
      </c>
      <c r="F62" s="7">
        <f>F60+F61</f>
        <v>66.28</v>
      </c>
      <c r="G62" s="7">
        <f>G60+G61</f>
        <v>242.97000000000003</v>
      </c>
      <c r="H62" s="7">
        <f>H60+H61</f>
        <v>398.58000000000004</v>
      </c>
      <c r="I62" s="7">
        <f t="shared" ref="I62:M62" si="9">I60+I61</f>
        <v>0</v>
      </c>
      <c r="J62" s="7">
        <f t="shared" si="9"/>
        <v>0</v>
      </c>
      <c r="K62" s="7">
        <f t="shared" si="9"/>
        <v>0</v>
      </c>
      <c r="L62" s="7">
        <f t="shared" si="9"/>
        <v>0</v>
      </c>
      <c r="M62" s="7">
        <f t="shared" si="9"/>
        <v>0</v>
      </c>
    </row>
    <row r="63" spans="1:14" s="7" customFormat="1" x14ac:dyDescent="0.25">
      <c r="A63" s="20" t="s">
        <v>132</v>
      </c>
      <c r="B63" s="20"/>
      <c r="C63" s="20"/>
      <c r="D63" s="20"/>
      <c r="E63" s="81">
        <f>E55+E62</f>
        <v>1556.0899999999997</v>
      </c>
      <c r="F63" s="81">
        <f>F55+F62</f>
        <v>-2868.3600000000006</v>
      </c>
      <c r="G63" s="81">
        <f>G55+G62</f>
        <v>-80.860000000000696</v>
      </c>
      <c r="H63" s="81">
        <f>H55+H62</f>
        <v>2857.8599999999992</v>
      </c>
      <c r="I63" s="81">
        <f t="shared" ref="I63:M63" si="10">I55+I62</f>
        <v>-128.45012199999996</v>
      </c>
      <c r="J63" s="81">
        <f t="shared" si="10"/>
        <v>-351.85407199999997</v>
      </c>
      <c r="K63" s="81">
        <f t="shared" si="10"/>
        <v>-403.15907199999998</v>
      </c>
      <c r="L63" s="81">
        <f t="shared" si="10"/>
        <v>-428.204072</v>
      </c>
      <c r="M63" s="81">
        <f t="shared" si="10"/>
        <v>-505.43157200000002</v>
      </c>
    </row>
    <row r="64" spans="1:14" s="7" customFormat="1" x14ac:dyDescent="0.25">
      <c r="G64" s="11"/>
    </row>
    <row r="65" spans="1:13" x14ac:dyDescent="0.25">
      <c r="A65" s="7" t="s">
        <v>141</v>
      </c>
    </row>
    <row r="66" spans="1:13" x14ac:dyDescent="0.25">
      <c r="B66" t="s">
        <v>92</v>
      </c>
      <c r="E66">
        <v>-2.1</v>
      </c>
      <c r="F66">
        <v>-5.48</v>
      </c>
      <c r="G66">
        <v>-7.35</v>
      </c>
      <c r="H66">
        <v>-18.549999999999997</v>
      </c>
      <c r="I66" s="9">
        <f>-'Income Statement'!I15</f>
        <v>-14.439414365009387</v>
      </c>
      <c r="J66" s="9">
        <f>-'Income Statement'!J15</f>
        <v>-18.679342171632022</v>
      </c>
      <c r="K66" s="9">
        <f>-'Income Statement'!K15</f>
        <v>-23.588838994069096</v>
      </c>
      <c r="L66" s="9">
        <f>-'Income Statement'!L15</f>
        <v>-23.861634900078677</v>
      </c>
      <c r="M66" s="9">
        <f>-'Income Statement'!M15</f>
        <v>-27.467931957004048</v>
      </c>
    </row>
    <row r="67" spans="1:13" x14ac:dyDescent="0.25">
      <c r="B67" t="s">
        <v>133</v>
      </c>
      <c r="E67">
        <v>0</v>
      </c>
      <c r="F67">
        <v>-5.31</v>
      </c>
      <c r="G67">
        <v>0</v>
      </c>
      <c r="H67">
        <v>-2785.38</v>
      </c>
      <c r="I67">
        <v>0</v>
      </c>
      <c r="J67">
        <v>0</v>
      </c>
      <c r="K67">
        <v>0</v>
      </c>
      <c r="L67">
        <v>0</v>
      </c>
      <c r="M67">
        <v>0</v>
      </c>
    </row>
    <row r="68" spans="1:13" x14ac:dyDescent="0.25">
      <c r="B68" t="s">
        <v>134</v>
      </c>
      <c r="E68" s="9">
        <v>-5195.1000000000004</v>
      </c>
      <c r="F68">
        <v>-8.73</v>
      </c>
      <c r="G68" s="9">
        <v>-4048.98</v>
      </c>
      <c r="H68">
        <v>-4045.88</v>
      </c>
      <c r="I68">
        <f>-('Income Statement'!I27*Assumptions!I29)</f>
        <v>-4724.1359540848453</v>
      </c>
      <c r="J68">
        <f>-('Income Statement'!J27*Assumptions!J29)</f>
        <v>-6178.7491213048779</v>
      </c>
      <c r="K68">
        <f>-('Income Statement'!K27*Assumptions!K29)</f>
        <v>-6978.7670762938815</v>
      </c>
      <c r="L68">
        <f>-('Income Statement'!L27*Assumptions!L29)</f>
        <v>-7786.2787840086139</v>
      </c>
      <c r="M68">
        <f>-('Income Statement'!M27*Assumptions!M29)</f>
        <v>-8662.9072608654278</v>
      </c>
    </row>
    <row r="69" spans="1:13" x14ac:dyDescent="0.25">
      <c r="B69" t="s">
        <v>176</v>
      </c>
      <c r="E69" s="9">
        <v>-1049.31</v>
      </c>
      <c r="F69">
        <v>0</v>
      </c>
      <c r="G69" s="9">
        <v>0</v>
      </c>
      <c r="H69">
        <v>0</v>
      </c>
      <c r="I69" s="9">
        <v>0</v>
      </c>
      <c r="J69" s="9">
        <v>0</v>
      </c>
      <c r="K69" s="9">
        <v>0</v>
      </c>
      <c r="L69" s="9">
        <v>0</v>
      </c>
      <c r="M69" s="9">
        <v>0</v>
      </c>
    </row>
    <row r="70" spans="1:13" s="7" customFormat="1" x14ac:dyDescent="0.25">
      <c r="A70" s="20" t="s">
        <v>135</v>
      </c>
      <c r="B70" s="20"/>
      <c r="C70" s="20"/>
      <c r="D70" s="20"/>
      <c r="E70" s="20">
        <f>SUM(E66:E69)</f>
        <v>-6246.51</v>
      </c>
      <c r="F70" s="20">
        <f>SUM(F66:F69)</f>
        <v>-19.52</v>
      </c>
      <c r="G70" s="20">
        <f>SUM(G66:G69)</f>
        <v>-4056.33</v>
      </c>
      <c r="H70" s="20">
        <f>SUM(H66:H69)</f>
        <v>-6849.81</v>
      </c>
      <c r="I70" s="20">
        <f t="shared" ref="I70:M70" si="11">SUM(I66:I69)</f>
        <v>-4738.575368449855</v>
      </c>
      <c r="J70" s="20">
        <f t="shared" si="11"/>
        <v>-6197.4284634765099</v>
      </c>
      <c r="K70" s="20">
        <f t="shared" si="11"/>
        <v>-7002.3559152879507</v>
      </c>
      <c r="L70" s="20">
        <f t="shared" si="11"/>
        <v>-7810.1404189086925</v>
      </c>
      <c r="M70" s="20">
        <f t="shared" si="11"/>
        <v>-8690.3751928224319</v>
      </c>
    </row>
    <row r="71" spans="1:13" x14ac:dyDescent="0.25">
      <c r="A71" t="s">
        <v>136</v>
      </c>
      <c r="E71">
        <v>207.58</v>
      </c>
      <c r="F71">
        <v>0.4</v>
      </c>
      <c r="G71">
        <v>353.51</v>
      </c>
      <c r="H71">
        <v>219.57</v>
      </c>
      <c r="I71">
        <v>0</v>
      </c>
      <c r="J71">
        <v>0</v>
      </c>
      <c r="K71">
        <v>0</v>
      </c>
      <c r="L71">
        <v>0</v>
      </c>
      <c r="M71">
        <v>0</v>
      </c>
    </row>
    <row r="72" spans="1:13" s="7" customFormat="1" x14ac:dyDescent="0.25">
      <c r="A72" s="20" t="s">
        <v>137</v>
      </c>
      <c r="B72" s="20"/>
      <c r="C72" s="20"/>
      <c r="D72" s="20"/>
      <c r="E72" s="81">
        <f>E44+E63+E70+E71</f>
        <v>-632.40000000000134</v>
      </c>
      <c r="F72" s="81">
        <f>F44+F63+F70+F71</f>
        <v>232.39999999999907</v>
      </c>
      <c r="G72" s="81">
        <f>G44+G63+G70+G71</f>
        <v>413.52999999999952</v>
      </c>
      <c r="H72" s="81">
        <f>H44+H63+H70+H71</f>
        <v>460.03000000000003</v>
      </c>
      <c r="I72" s="81">
        <f t="shared" ref="I72:M72" si="12">I44+I63+I70+I71</f>
        <v>1168.00017017765</v>
      </c>
      <c r="J72" s="81">
        <f t="shared" si="12"/>
        <v>2095.1336111777618</v>
      </c>
      <c r="K72" s="81">
        <f t="shared" si="12"/>
        <v>2784.9667939064866</v>
      </c>
      <c r="L72" s="81">
        <f t="shared" si="12"/>
        <v>2688.1833123666011</v>
      </c>
      <c r="M72" s="81">
        <f t="shared" si="12"/>
        <v>3237.5698693695722</v>
      </c>
    </row>
    <row r="74" spans="1:13" x14ac:dyDescent="0.25">
      <c r="A74" t="s">
        <v>138</v>
      </c>
      <c r="E74">
        <v>915.64</v>
      </c>
      <c r="F74">
        <v>285.39999999999998</v>
      </c>
      <c r="G74">
        <v>516.61</v>
      </c>
      <c r="H74">
        <v>933.69</v>
      </c>
      <c r="I74" s="9">
        <f>H76</f>
        <v>1383.65</v>
      </c>
      <c r="J74" s="9">
        <f t="shared" ref="J74:M74" si="13">I76</f>
        <v>2551.6501701776501</v>
      </c>
      <c r="K74" s="9">
        <f t="shared" si="13"/>
        <v>4646.7837813554124</v>
      </c>
      <c r="L74" s="9">
        <f t="shared" si="13"/>
        <v>7431.750575261899</v>
      </c>
      <c r="M74" s="9">
        <f t="shared" si="13"/>
        <v>10119.9338876285</v>
      </c>
    </row>
    <row r="75" spans="1:13" ht="15.75" thickBot="1" x14ac:dyDescent="0.3">
      <c r="A75" t="s">
        <v>139</v>
      </c>
      <c r="E75">
        <v>2.16</v>
      </c>
      <c r="F75">
        <v>-1.19</v>
      </c>
      <c r="G75">
        <v>3.55</v>
      </c>
      <c r="H75">
        <v>-10.069999999999997</v>
      </c>
      <c r="I75">
        <v>0</v>
      </c>
      <c r="J75">
        <v>0</v>
      </c>
      <c r="K75">
        <v>0</v>
      </c>
      <c r="L75">
        <v>0</v>
      </c>
      <c r="M75">
        <v>0</v>
      </c>
    </row>
    <row r="76" spans="1:13" s="7" customFormat="1" ht="15.75" thickTop="1" x14ac:dyDescent="0.25">
      <c r="A76" s="83" t="s">
        <v>140</v>
      </c>
      <c r="B76" s="83"/>
      <c r="C76" s="83"/>
      <c r="D76" s="83"/>
      <c r="E76" s="84">
        <f>E72+E74+E75</f>
        <v>285.39999999999867</v>
      </c>
      <c r="F76" s="84">
        <f>F72+F74+F75</f>
        <v>516.60999999999899</v>
      </c>
      <c r="G76" s="84">
        <f>G72+G74+G75</f>
        <v>933.68999999999949</v>
      </c>
      <c r="H76" s="84">
        <f>H72+H74+H75</f>
        <v>1383.65</v>
      </c>
      <c r="I76" s="84">
        <f t="shared" ref="I76:M76" si="14">I72+I74+I75</f>
        <v>2551.6501701776501</v>
      </c>
      <c r="J76" s="84">
        <f t="shared" si="14"/>
        <v>4646.7837813554124</v>
      </c>
      <c r="K76" s="84">
        <f t="shared" si="14"/>
        <v>7431.750575261899</v>
      </c>
      <c r="L76" s="84">
        <f t="shared" si="14"/>
        <v>10119.9338876285</v>
      </c>
      <c r="M76" s="84">
        <f t="shared" si="14"/>
        <v>13357.503756998072</v>
      </c>
    </row>
    <row r="78" spans="1:13" x14ac:dyDescent="0.25">
      <c r="H78" t="b">
        <f>H76='Balance Sheet'!H26</f>
        <v>1</v>
      </c>
      <c r="I78" t="b">
        <f>'Balance Sheet'!I62</f>
        <v>1</v>
      </c>
      <c r="J78" t="b">
        <f>'Balance Sheet'!J62</f>
        <v>1</v>
      </c>
      <c r="K78" t="b">
        <f>'Balance Sheet'!K62</f>
        <v>1</v>
      </c>
      <c r="L78" t="b">
        <f>'Balance Sheet'!L62</f>
        <v>1</v>
      </c>
      <c r="M78" t="b">
        <f>'Balance Sheet'!M62</f>
        <v>1</v>
      </c>
    </row>
    <row r="80" spans="1:13" x14ac:dyDescent="0.25">
      <c r="I80" s="9"/>
    </row>
  </sheetData>
  <pageMargins left="0.7" right="0.7" top="0.75" bottom="0.75" header="0.3" footer="0.3"/>
  <pageSetup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10866B-76C6-457A-A3BE-D4EAC3DA1566}">
  <dimension ref="A1:O21"/>
  <sheetViews>
    <sheetView showGridLines="0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E1" sqref="E1"/>
    </sheetView>
  </sheetViews>
  <sheetFormatPr defaultRowHeight="15" x14ac:dyDescent="0.25"/>
  <cols>
    <col min="1" max="1" width="3.140625" customWidth="1"/>
    <col min="2" max="2" width="3.5703125" customWidth="1"/>
    <col min="3" max="3" width="39.140625" customWidth="1"/>
    <col min="4" max="4" width="4.42578125" customWidth="1"/>
    <col min="5" max="7" width="9.140625" bestFit="1" customWidth="1"/>
    <col min="9" max="12" width="10" bestFit="1" customWidth="1"/>
    <col min="13" max="13" width="9.140625" customWidth="1"/>
  </cols>
  <sheetData>
    <row r="1" spans="1:15" ht="18.75" x14ac:dyDescent="0.3">
      <c r="A1" s="5" t="s">
        <v>197</v>
      </c>
    </row>
    <row r="2" spans="1:15" x14ac:dyDescent="0.25">
      <c r="A2" s="6" t="s">
        <v>7</v>
      </c>
    </row>
    <row r="3" spans="1:15" x14ac:dyDescent="0.25">
      <c r="A3" s="7" t="s">
        <v>8</v>
      </c>
      <c r="C3" s="7"/>
      <c r="E3" s="8" t="s">
        <v>143</v>
      </c>
      <c r="F3" s="8" t="s">
        <v>15</v>
      </c>
      <c r="G3" s="8" t="s">
        <v>14</v>
      </c>
      <c r="H3" s="8" t="s">
        <v>9</v>
      </c>
      <c r="I3" s="8" t="s">
        <v>13</v>
      </c>
      <c r="J3" s="8" t="s">
        <v>12</v>
      </c>
      <c r="K3" s="8" t="s">
        <v>11</v>
      </c>
      <c r="L3" s="8" t="s">
        <v>10</v>
      </c>
      <c r="M3" s="8" t="s">
        <v>195</v>
      </c>
    </row>
    <row r="5" spans="1:15" x14ac:dyDescent="0.25">
      <c r="A5" t="s">
        <v>198</v>
      </c>
      <c r="E5" s="2">
        <f>'Revenue Model'!E8+'Revenue Model'!E13</f>
        <v>4614058</v>
      </c>
      <c r="F5" s="2">
        <f>'Revenue Model'!F8+'Revenue Model'!F13</f>
        <v>3971531</v>
      </c>
      <c r="G5" s="2">
        <f>'Revenue Model'!G8+'Revenue Model'!G13</f>
        <v>4308309</v>
      </c>
      <c r="H5" s="2">
        <f>'Revenue Model'!H8+'Revenue Model'!H13</f>
        <v>3933478</v>
      </c>
      <c r="I5" s="2">
        <f>'Revenue Model'!I8+'Revenue Model'!I13</f>
        <v>4119296.39</v>
      </c>
      <c r="J5" s="2">
        <f>'Revenue Model'!J8+'Revenue Model'!J13</f>
        <v>4426835.4878000002</v>
      </c>
      <c r="K5" s="2">
        <f>'Revenue Model'!K8+'Revenue Model'!K13</f>
        <v>4723828.7273100009</v>
      </c>
      <c r="L5" s="2">
        <f>'Revenue Model'!L8+'Revenue Model'!L13</f>
        <v>4987254.6911187014</v>
      </c>
      <c r="M5" s="2">
        <f>'Revenue Model'!M8+'Revenue Model'!M13</f>
        <v>5236617.4256746359</v>
      </c>
    </row>
    <row r="6" spans="1:15" x14ac:dyDescent="0.25">
      <c r="A6" t="s">
        <v>199</v>
      </c>
      <c r="E6">
        <v>6648000</v>
      </c>
      <c r="F6">
        <v>6648000</v>
      </c>
      <c r="G6">
        <v>6648000</v>
      </c>
      <c r="H6">
        <v>6648000</v>
      </c>
      <c r="I6">
        <v>6648000</v>
      </c>
      <c r="J6">
        <v>6648000</v>
      </c>
      <c r="K6">
        <v>6648000</v>
      </c>
      <c r="L6">
        <v>6648000</v>
      </c>
      <c r="M6">
        <v>6648000</v>
      </c>
    </row>
    <row r="7" spans="1:15" x14ac:dyDescent="0.25">
      <c r="A7" t="s">
        <v>229</v>
      </c>
      <c r="I7" s="1">
        <f t="shared" ref="I7:L7" si="0">I5/I6</f>
        <v>0.61962942087845974</v>
      </c>
      <c r="J7" s="1">
        <f t="shared" si="0"/>
        <v>0.66588981465102293</v>
      </c>
      <c r="K7" s="1">
        <f t="shared" si="0"/>
        <v>0.71056388798285208</v>
      </c>
      <c r="L7" s="1">
        <f t="shared" si="0"/>
        <v>0.75018873211773485</v>
      </c>
      <c r="M7" s="1">
        <f>M5/M6</f>
        <v>0.78769816872362153</v>
      </c>
    </row>
    <row r="9" spans="1:15" x14ac:dyDescent="0.25">
      <c r="A9" s="7" t="s">
        <v>200</v>
      </c>
      <c r="E9">
        <v>4196.3500000000004</v>
      </c>
      <c r="F9">
        <v>4021.28</v>
      </c>
      <c r="G9">
        <v>4181.79</v>
      </c>
      <c r="H9">
        <f>G12</f>
        <v>4468.71</v>
      </c>
      <c r="I9">
        <f>H12</f>
        <v>4796.6400000000003</v>
      </c>
      <c r="J9">
        <f t="shared" ref="J9:M9" si="1">I12</f>
        <v>5146.6400000000003</v>
      </c>
      <c r="K9">
        <f t="shared" si="1"/>
        <v>5496.64</v>
      </c>
      <c r="L9">
        <f t="shared" si="1"/>
        <v>5896.64</v>
      </c>
      <c r="M9">
        <f t="shared" si="1"/>
        <v>6321.64</v>
      </c>
      <c r="N9" s="9"/>
    </row>
    <row r="10" spans="1:15" x14ac:dyDescent="0.25">
      <c r="B10" t="s">
        <v>208</v>
      </c>
      <c r="E10">
        <f>E12-E9+E16</f>
        <v>55.689999999999827</v>
      </c>
      <c r="F10">
        <f>F12-F9+F16</f>
        <v>392.65999999999974</v>
      </c>
      <c r="G10">
        <f>G12-G9+G16</f>
        <v>531.55000000000007</v>
      </c>
      <c r="H10" s="9">
        <f>'Balance Sheet'!H6-'Balance Sheet'!G6+'Income Statement'!H13</f>
        <v>327.92999999999989</v>
      </c>
      <c r="I10">
        <v>350</v>
      </c>
      <c r="J10">
        <v>350</v>
      </c>
      <c r="K10">
        <v>400</v>
      </c>
      <c r="L10">
        <v>425</v>
      </c>
      <c r="M10">
        <v>500</v>
      </c>
      <c r="N10" s="9"/>
    </row>
    <row r="11" spans="1:15" x14ac:dyDescent="0.25">
      <c r="B11" t="s">
        <v>207</v>
      </c>
      <c r="E11">
        <v>344.98</v>
      </c>
      <c r="F11">
        <v>55.07</v>
      </c>
      <c r="G11">
        <v>171.7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</row>
    <row r="12" spans="1:15" x14ac:dyDescent="0.25">
      <c r="A12" s="20" t="s">
        <v>205</v>
      </c>
      <c r="B12" s="20"/>
      <c r="C12" s="20"/>
      <c r="D12" s="20"/>
      <c r="E12" s="20">
        <v>4021.28</v>
      </c>
      <c r="F12" s="20">
        <v>4181.79</v>
      </c>
      <c r="G12" s="20">
        <v>4468.71</v>
      </c>
      <c r="H12" s="81">
        <f>H9+H10-H11</f>
        <v>4796.6400000000003</v>
      </c>
      <c r="I12" s="20">
        <f>I9+I10-I11</f>
        <v>5146.6400000000003</v>
      </c>
      <c r="J12" s="20">
        <f t="shared" ref="J12:M12" si="2">J9+J10-J11</f>
        <v>5496.64</v>
      </c>
      <c r="K12" s="20">
        <f t="shared" si="2"/>
        <v>5896.64</v>
      </c>
      <c r="L12" s="20">
        <f t="shared" si="2"/>
        <v>6321.64</v>
      </c>
      <c r="M12" s="20">
        <f t="shared" si="2"/>
        <v>6821.64</v>
      </c>
      <c r="N12" s="9"/>
    </row>
    <row r="13" spans="1:15" x14ac:dyDescent="0.25">
      <c r="A13" s="7"/>
    </row>
    <row r="14" spans="1:15" x14ac:dyDescent="0.25">
      <c r="A14" s="7" t="s">
        <v>201</v>
      </c>
    </row>
    <row r="15" spans="1:15" x14ac:dyDescent="0.25">
      <c r="B15" t="s">
        <v>202</v>
      </c>
      <c r="E15">
        <v>2507.66</v>
      </c>
      <c r="F15">
        <v>2419.25</v>
      </c>
      <c r="G15">
        <v>2613.84</v>
      </c>
      <c r="H15">
        <f>G18</f>
        <v>2709.11</v>
      </c>
      <c r="I15">
        <f>H18</f>
        <v>2983.9500000000003</v>
      </c>
      <c r="J15">
        <f t="shared" ref="J15:M15" si="3">I18</f>
        <v>3271.7484000000004</v>
      </c>
      <c r="K15">
        <f t="shared" si="3"/>
        <v>3580.5468000000005</v>
      </c>
      <c r="L15">
        <f t="shared" si="3"/>
        <v>3910.3452000000007</v>
      </c>
      <c r="M15">
        <f t="shared" si="3"/>
        <v>4264.1436000000003</v>
      </c>
      <c r="N15" s="9"/>
      <c r="O15" s="22"/>
    </row>
    <row r="16" spans="1:15" x14ac:dyDescent="0.25">
      <c r="B16" t="s">
        <v>209</v>
      </c>
      <c r="E16">
        <v>230.76</v>
      </c>
      <c r="F16">
        <v>232.15</v>
      </c>
      <c r="G16">
        <v>244.63</v>
      </c>
      <c r="H16" s="9">
        <f>'Income Statement'!H13</f>
        <v>274.83999999999997</v>
      </c>
      <c r="I16">
        <f>I9*Assumptions!I20</f>
        <v>287.79840000000002</v>
      </c>
      <c r="J16">
        <f>J9*Assumptions!J20</f>
        <v>308.79840000000002</v>
      </c>
      <c r="K16">
        <f>K9*Assumptions!K20</f>
        <v>329.79840000000002</v>
      </c>
      <c r="L16">
        <f>L9*Assumptions!L20</f>
        <v>353.79840000000002</v>
      </c>
      <c r="M16">
        <f>M9*Assumptions!M20</f>
        <v>379.29840000000002</v>
      </c>
      <c r="N16" s="9"/>
    </row>
    <row r="17" spans="1:15" x14ac:dyDescent="0.25">
      <c r="B17" t="s">
        <v>206</v>
      </c>
      <c r="E17">
        <v>319.17</v>
      </c>
      <c r="F17">
        <v>37.56</v>
      </c>
      <c r="G17">
        <v>149.36000000000001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5" x14ac:dyDescent="0.25">
      <c r="A18" s="20"/>
      <c r="B18" s="20" t="s">
        <v>203</v>
      </c>
      <c r="C18" s="20"/>
      <c r="D18" s="20"/>
      <c r="E18" s="20">
        <f>E15+E16-E17</f>
        <v>2419.25</v>
      </c>
      <c r="F18" s="20">
        <f>F15+F16-F17</f>
        <v>2613.84</v>
      </c>
      <c r="G18" s="20">
        <f>G15+G16-G17</f>
        <v>2709.11</v>
      </c>
      <c r="H18" s="20">
        <f>H15+H16-H17</f>
        <v>2983.9500000000003</v>
      </c>
      <c r="I18" s="20">
        <f t="shared" ref="I18:M18" si="4">I15+I16-I17</f>
        <v>3271.7484000000004</v>
      </c>
      <c r="J18" s="20">
        <f t="shared" si="4"/>
        <v>3580.5468000000005</v>
      </c>
      <c r="K18" s="20">
        <f t="shared" si="4"/>
        <v>3910.3452000000007</v>
      </c>
      <c r="L18" s="20">
        <f t="shared" si="4"/>
        <v>4264.1436000000003</v>
      </c>
      <c r="M18" s="20">
        <f t="shared" si="4"/>
        <v>4643.442</v>
      </c>
      <c r="N18" s="9"/>
    </row>
    <row r="19" spans="1:15" x14ac:dyDescent="0.25">
      <c r="J19" s="9"/>
    </row>
    <row r="20" spans="1:15" x14ac:dyDescent="0.25">
      <c r="A20" s="7"/>
      <c r="B20" s="7" t="s">
        <v>204</v>
      </c>
      <c r="C20" s="7"/>
      <c r="D20" s="7"/>
      <c r="E20" s="7">
        <f>E12-E18</f>
        <v>1602.0300000000002</v>
      </c>
      <c r="F20" s="7">
        <f>F12-F18</f>
        <v>1567.9499999999998</v>
      </c>
      <c r="G20" s="7">
        <f>G12-G18</f>
        <v>1759.6</v>
      </c>
      <c r="H20" s="7">
        <f>H12-H18</f>
        <v>1812.69</v>
      </c>
      <c r="I20" s="7">
        <f t="shared" ref="I20:M20" si="5">I12-I18</f>
        <v>1874.8915999999999</v>
      </c>
      <c r="J20" s="7">
        <f t="shared" si="5"/>
        <v>1916.0931999999998</v>
      </c>
      <c r="K20" s="7">
        <f t="shared" si="5"/>
        <v>1986.2947999999997</v>
      </c>
      <c r="L20" s="7">
        <f t="shared" si="5"/>
        <v>2057.4964</v>
      </c>
      <c r="M20" s="7">
        <f t="shared" si="5"/>
        <v>2178.1980000000003</v>
      </c>
      <c r="N20" s="9"/>
      <c r="O20" s="9"/>
    </row>
    <row r="21" spans="1:15" x14ac:dyDescent="0.25">
      <c r="G21" s="9"/>
      <c r="H21" s="9"/>
    </row>
  </sheetData>
  <pageMargins left="0.7" right="0.7" top="0.75" bottom="0.75" header="0.3" footer="0.3"/>
  <pageSetup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10F32B-07B6-43CF-84F9-38336121D969}">
  <dimension ref="A2:F33"/>
  <sheetViews>
    <sheetView showGridLines="0" workbookViewId="0">
      <selection activeCell="F1" sqref="F1"/>
    </sheetView>
  </sheetViews>
  <sheetFormatPr defaultRowHeight="15" x14ac:dyDescent="0.25"/>
  <cols>
    <col min="1" max="1" width="4.85546875" customWidth="1"/>
    <col min="2" max="2" width="4.140625" customWidth="1"/>
    <col min="3" max="3" width="41.140625" bestFit="1" customWidth="1"/>
    <col min="4" max="4" width="23.5703125" bestFit="1" customWidth="1"/>
    <col min="5" max="5" width="16.140625" bestFit="1" customWidth="1"/>
    <col min="6" max="6" width="11.85546875" bestFit="1" customWidth="1"/>
  </cols>
  <sheetData>
    <row r="2" spans="1:6" x14ac:dyDescent="0.25">
      <c r="A2" s="7" t="s">
        <v>8</v>
      </c>
      <c r="B2" s="7"/>
      <c r="C2" s="7"/>
      <c r="D2" s="7" t="s">
        <v>253</v>
      </c>
      <c r="E2" s="7" t="s">
        <v>254</v>
      </c>
      <c r="F2" s="7" t="s">
        <v>255</v>
      </c>
    </row>
    <row r="3" spans="1:6" x14ac:dyDescent="0.25">
      <c r="A3" s="7" t="s">
        <v>230</v>
      </c>
    </row>
    <row r="5" spans="1:6" x14ac:dyDescent="0.25">
      <c r="B5" t="s">
        <v>231</v>
      </c>
      <c r="D5" s="4">
        <v>1</v>
      </c>
      <c r="E5">
        <v>1980000</v>
      </c>
      <c r="F5">
        <v>1218.72</v>
      </c>
    </row>
    <row r="6" spans="1:6" x14ac:dyDescent="0.25">
      <c r="B6" t="s">
        <v>5</v>
      </c>
      <c r="D6" s="4">
        <v>1</v>
      </c>
      <c r="E6">
        <v>449997</v>
      </c>
      <c r="F6">
        <v>10.54</v>
      </c>
    </row>
    <row r="7" spans="1:6" x14ac:dyDescent="0.25">
      <c r="B7" t="s">
        <v>232</v>
      </c>
      <c r="E7">
        <v>411875</v>
      </c>
      <c r="F7">
        <v>6.17</v>
      </c>
    </row>
    <row r="8" spans="1:6" x14ac:dyDescent="0.25">
      <c r="B8" t="s">
        <v>235</v>
      </c>
      <c r="F8">
        <v>-2.17</v>
      </c>
    </row>
    <row r="9" spans="1:6" x14ac:dyDescent="0.25">
      <c r="B9" t="s">
        <v>4</v>
      </c>
      <c r="D9" s="4">
        <v>1</v>
      </c>
      <c r="E9">
        <v>5000000</v>
      </c>
      <c r="F9">
        <v>5</v>
      </c>
    </row>
    <row r="10" spans="1:6" x14ac:dyDescent="0.25">
      <c r="B10" t="s">
        <v>233</v>
      </c>
      <c r="D10" s="4">
        <v>1</v>
      </c>
      <c r="E10">
        <v>5000000</v>
      </c>
      <c r="F10">
        <v>5</v>
      </c>
    </row>
    <row r="11" spans="1:6" x14ac:dyDescent="0.25">
      <c r="B11" t="s">
        <v>234</v>
      </c>
      <c r="D11" s="4">
        <v>1</v>
      </c>
      <c r="E11">
        <v>6000</v>
      </c>
      <c r="F11">
        <v>5.17</v>
      </c>
    </row>
    <row r="12" spans="1:6" x14ac:dyDescent="0.25">
      <c r="A12" s="19"/>
      <c r="B12" s="19"/>
      <c r="C12" s="85"/>
      <c r="D12" s="19"/>
      <c r="E12" s="19"/>
      <c r="F12" s="19">
        <f>SUM(F5:F11)</f>
        <v>1248.43</v>
      </c>
    </row>
    <row r="14" spans="1:6" x14ac:dyDescent="0.25">
      <c r="A14" s="7" t="s">
        <v>237</v>
      </c>
    </row>
    <row r="15" spans="1:6" x14ac:dyDescent="0.25">
      <c r="A15" s="7" t="s">
        <v>236</v>
      </c>
    </row>
    <row r="16" spans="1:6" x14ac:dyDescent="0.25">
      <c r="B16" s="7" t="s">
        <v>238</v>
      </c>
    </row>
    <row r="17" spans="1:6" x14ac:dyDescent="0.25">
      <c r="B17" t="s">
        <v>239</v>
      </c>
      <c r="D17">
        <v>3500000</v>
      </c>
      <c r="F17">
        <v>1753.87</v>
      </c>
    </row>
    <row r="18" spans="1:6" x14ac:dyDescent="0.25">
      <c r="A18" s="69"/>
      <c r="B18" t="s">
        <v>240</v>
      </c>
      <c r="C18" t="s">
        <v>241</v>
      </c>
      <c r="D18">
        <v>17495</v>
      </c>
      <c r="F18">
        <v>144.21</v>
      </c>
    </row>
    <row r="19" spans="1:6" x14ac:dyDescent="0.25">
      <c r="B19" s="19"/>
      <c r="C19" s="19"/>
      <c r="D19" s="19"/>
      <c r="E19" s="19"/>
      <c r="F19" s="19">
        <f>SUM(F17:F18)</f>
        <v>1898.08</v>
      </c>
    </row>
    <row r="20" spans="1:6" x14ac:dyDescent="0.25">
      <c r="A20" s="7" t="s">
        <v>242</v>
      </c>
      <c r="E20" s="7" t="s">
        <v>256</v>
      </c>
      <c r="F20" s="7" t="s">
        <v>252</v>
      </c>
    </row>
    <row r="21" spans="1:6" x14ac:dyDescent="0.25">
      <c r="B21" s="7" t="s">
        <v>243</v>
      </c>
      <c r="E21">
        <v>3583.73</v>
      </c>
      <c r="F21">
        <v>250.93</v>
      </c>
    </row>
    <row r="22" spans="1:6" x14ac:dyDescent="0.25">
      <c r="C22" t="s">
        <v>244</v>
      </c>
      <c r="E22">
        <v>857.47</v>
      </c>
      <c r="F22">
        <v>0</v>
      </c>
    </row>
    <row r="23" spans="1:6" x14ac:dyDescent="0.25">
      <c r="C23" t="s">
        <v>245</v>
      </c>
      <c r="E23">
        <v>1115</v>
      </c>
      <c r="F23">
        <v>107.84</v>
      </c>
    </row>
    <row r="24" spans="1:6" x14ac:dyDescent="0.25">
      <c r="C24" t="s">
        <v>246</v>
      </c>
      <c r="E24">
        <v>755.11</v>
      </c>
      <c r="F24">
        <v>3903.65</v>
      </c>
    </row>
    <row r="25" spans="1:6" x14ac:dyDescent="0.25">
      <c r="A25" s="69"/>
      <c r="C25" t="s">
        <v>247</v>
      </c>
      <c r="E25">
        <v>5515.81</v>
      </c>
      <c r="F25">
        <v>0</v>
      </c>
    </row>
    <row r="26" spans="1:6" x14ac:dyDescent="0.25">
      <c r="B26" s="19"/>
      <c r="C26" s="19"/>
      <c r="D26" s="19"/>
      <c r="E26" s="19">
        <f>SUM(E21:E25)</f>
        <v>11827.119999999999</v>
      </c>
      <c r="F26" s="19">
        <f>SUM(F21:F25)</f>
        <v>4262.42</v>
      </c>
    </row>
    <row r="27" spans="1:6" x14ac:dyDescent="0.25">
      <c r="A27" s="7" t="s">
        <v>248</v>
      </c>
      <c r="E27">
        <f>SUM(E26)</f>
        <v>11827.119999999999</v>
      </c>
      <c r="F27">
        <f>SUM(F26)</f>
        <v>4262.42</v>
      </c>
    </row>
    <row r="28" spans="1:6" x14ac:dyDescent="0.25">
      <c r="C28" t="s">
        <v>249</v>
      </c>
      <c r="E28">
        <v>3089.61</v>
      </c>
      <c r="F28">
        <v>0</v>
      </c>
    </row>
    <row r="29" spans="1:6" x14ac:dyDescent="0.25">
      <c r="C29" t="s">
        <v>250</v>
      </c>
      <c r="E29">
        <v>786.39</v>
      </c>
      <c r="F29">
        <v>0</v>
      </c>
    </row>
    <row r="30" spans="1:6" x14ac:dyDescent="0.25">
      <c r="A30" s="69"/>
      <c r="C30" t="s">
        <v>251</v>
      </c>
      <c r="E30">
        <v>0</v>
      </c>
      <c r="F30">
        <v>814.55</v>
      </c>
    </row>
    <row r="31" spans="1:6" x14ac:dyDescent="0.25">
      <c r="B31" s="19"/>
      <c r="C31" s="19"/>
      <c r="D31" s="19"/>
      <c r="E31" s="19">
        <f>SUM(E28:E30)</f>
        <v>3876</v>
      </c>
      <c r="F31" s="19">
        <f>SUM(F28:F30)</f>
        <v>814.55</v>
      </c>
    </row>
    <row r="33" spans="1:6" x14ac:dyDescent="0.25">
      <c r="A33" s="45"/>
      <c r="B33" s="45"/>
      <c r="C33" s="45"/>
      <c r="D33" s="45"/>
      <c r="E33" s="45">
        <f>E31+E26</f>
        <v>15703.119999999999</v>
      </c>
      <c r="F33" s="45">
        <f>F31+F26</f>
        <v>5076.97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3</vt:i4>
      </vt:variant>
    </vt:vector>
  </HeadingPairs>
  <TitlesOfParts>
    <vt:vector size="14" baseType="lpstr">
      <vt:lpstr>DCF</vt:lpstr>
      <vt:lpstr>Scenario analysis</vt:lpstr>
      <vt:lpstr>Relative</vt:lpstr>
      <vt:lpstr>Ratio Analysis</vt:lpstr>
      <vt:lpstr>Assumptions</vt:lpstr>
      <vt:lpstr>Revenue Model</vt:lpstr>
      <vt:lpstr>Income Statement</vt:lpstr>
      <vt:lpstr>Balance Sheet</vt:lpstr>
      <vt:lpstr>CashFlow Statement</vt:lpstr>
      <vt:lpstr>Capex</vt:lpstr>
      <vt:lpstr>Investment</vt:lpstr>
      <vt:lpstr>Base_case</vt:lpstr>
      <vt:lpstr>Best_case</vt:lpstr>
      <vt:lpstr>Worst_case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2023-03-16T13:38:39Z</dcterms:created>
  <dcterms:modified xsi:type="dcterms:W3CDTF">2023-03-19T04:40:55Z</dcterms:modified>
</cp:coreProperties>
</file>