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Pawan\Zerodha\FMCG-Personal care\"/>
    </mc:Choice>
  </mc:AlternateContent>
  <xr:revisionPtr revIDLastSave="0" documentId="13_ncr:1_{08A43AA8-E036-4163-9B05-0179177CA222}" xr6:coauthVersionLast="47" xr6:coauthVersionMax="47" xr10:uidLastSave="{00000000-0000-0000-0000-000000000000}"/>
  <bookViews>
    <workbookView xWindow="-120" yWindow="-120" windowWidth="20730" windowHeight="11160" xr2:uid="{1A66140D-0DBE-4CA9-97EA-C7DF96E8DC2B}"/>
  </bookViews>
  <sheets>
    <sheet name="Comp Table" sheetId="1" r:id="rId1"/>
  </sheets>
  <definedNames>
    <definedName name="_xlnm._FilterDatabase" localSheetId="0" hidden="1">'Comp Table'!$B$6:$I$11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41" i="1" l="1"/>
  <c r="Q41" i="1"/>
  <c r="P41" i="1"/>
  <c r="N41" i="1"/>
  <c r="O41" i="1"/>
  <c r="M41" i="1"/>
  <c r="K41" i="1"/>
  <c r="L41" i="1"/>
  <c r="J41" i="1"/>
  <c r="G41" i="1"/>
  <c r="H41" i="1"/>
  <c r="I41" i="1"/>
  <c r="F41" i="1"/>
  <c r="O16" i="1"/>
  <c r="P16" i="1"/>
  <c r="Q16" i="1"/>
  <c r="R16" i="1"/>
  <c r="S16" i="1"/>
  <c r="T16" i="1"/>
  <c r="U16" i="1"/>
  <c r="V16" i="1"/>
  <c r="W16" i="1"/>
  <c r="X16" i="1"/>
  <c r="Y16" i="1"/>
  <c r="Z16" i="1"/>
  <c r="AA16" i="1"/>
  <c r="Y22" i="1"/>
  <c r="Q22" i="1"/>
  <c r="R22" i="1" s="1"/>
  <c r="N22" i="1"/>
  <c r="K22" i="1"/>
  <c r="L22" i="1" s="1"/>
  <c r="AA22" i="1" l="1"/>
  <c r="W22" i="1"/>
  <c r="Z22" i="1"/>
  <c r="O22" i="1"/>
  <c r="X22" i="1" s="1"/>
  <c r="J26" i="1" l="1"/>
  <c r="S17" i="1"/>
  <c r="T17" i="1"/>
  <c r="U17" i="1"/>
  <c r="S18" i="1"/>
  <c r="T18" i="1"/>
  <c r="U18" i="1"/>
  <c r="S19" i="1"/>
  <c r="T19" i="1"/>
  <c r="U19" i="1"/>
  <c r="S20" i="1"/>
  <c r="T20" i="1"/>
  <c r="U20" i="1"/>
  <c r="J16" i="1"/>
  <c r="M16" i="1"/>
  <c r="J17" i="1"/>
  <c r="M17" i="1"/>
  <c r="P17" i="1"/>
  <c r="J18" i="1"/>
  <c r="M18" i="1"/>
  <c r="P18" i="1"/>
  <c r="J19" i="1"/>
  <c r="M19" i="1"/>
  <c r="P19" i="1"/>
  <c r="J20" i="1"/>
  <c r="M20" i="1"/>
  <c r="P20" i="1"/>
  <c r="G16" i="1"/>
  <c r="H16" i="1"/>
  <c r="G17" i="1"/>
  <c r="H17" i="1"/>
  <c r="G18" i="1"/>
  <c r="H18" i="1"/>
  <c r="G19" i="1"/>
  <c r="H19" i="1"/>
  <c r="G20" i="1"/>
  <c r="H20" i="1"/>
  <c r="Y12" i="1" l="1"/>
  <c r="Y11" i="1"/>
  <c r="Y10" i="1"/>
  <c r="Y9" i="1"/>
  <c r="Y8" i="1"/>
  <c r="Y7" i="1"/>
  <c r="Q12" i="1"/>
  <c r="Q9" i="1"/>
  <c r="Q8" i="1"/>
  <c r="Q7" i="1"/>
  <c r="Q10" i="1"/>
  <c r="R10" i="1" s="1"/>
  <c r="R12" i="1" l="1"/>
  <c r="R7" i="1"/>
  <c r="R8" i="1"/>
  <c r="R9" i="1"/>
  <c r="Y6" i="1"/>
  <c r="Y18" i="1" l="1"/>
  <c r="Y19" i="1"/>
  <c r="Y20" i="1"/>
  <c r="Y17" i="1"/>
  <c r="Q11" i="1"/>
  <c r="K12" i="1"/>
  <c r="K11" i="1"/>
  <c r="L11" i="1" s="1"/>
  <c r="K10" i="1"/>
  <c r="K9" i="1"/>
  <c r="K8" i="1"/>
  <c r="K7" i="1"/>
  <c r="N12" i="1"/>
  <c r="N11" i="1"/>
  <c r="O11" i="1" s="1"/>
  <c r="N10" i="1"/>
  <c r="O10" i="1" s="1"/>
  <c r="N9" i="1"/>
  <c r="N8" i="1"/>
  <c r="N7" i="1"/>
  <c r="V9" i="1"/>
  <c r="V10" i="1"/>
  <c r="V12" i="1"/>
  <c r="V8" i="1"/>
  <c r="V7" i="1"/>
  <c r="V11" i="1"/>
  <c r="V22" i="1"/>
  <c r="F22" i="1"/>
  <c r="F11" i="1"/>
  <c r="F7" i="1"/>
  <c r="F8" i="1"/>
  <c r="R29" i="1" s="1"/>
  <c r="F10" i="1"/>
  <c r="Q32" i="1" l="1"/>
  <c r="P32" i="1"/>
  <c r="F32" i="1"/>
  <c r="P28" i="1"/>
  <c r="F28" i="1"/>
  <c r="Q28" i="1"/>
  <c r="P31" i="1"/>
  <c r="F31" i="1"/>
  <c r="R31" i="1"/>
  <c r="Q31" i="1"/>
  <c r="P29" i="1"/>
  <c r="F29" i="1"/>
  <c r="Q29" i="1"/>
  <c r="R28" i="1"/>
  <c r="O12" i="1"/>
  <c r="O7" i="1"/>
  <c r="O8" i="1"/>
  <c r="O9" i="1"/>
  <c r="V20" i="1"/>
  <c r="V17" i="1"/>
  <c r="V18" i="1"/>
  <c r="V19" i="1"/>
  <c r="N18" i="1"/>
  <c r="N19" i="1"/>
  <c r="N16" i="1"/>
  <c r="N20" i="1"/>
  <c r="N17" i="1"/>
  <c r="Q20" i="1"/>
  <c r="Q17" i="1"/>
  <c r="Q19" i="1"/>
  <c r="Q18" i="1"/>
  <c r="K17" i="1"/>
  <c r="K18" i="1"/>
  <c r="K20" i="1"/>
  <c r="K19" i="1"/>
  <c r="K16" i="1"/>
  <c r="L9" i="1"/>
  <c r="Z9" i="1"/>
  <c r="L8" i="1"/>
  <c r="Z8" i="1"/>
  <c r="L10" i="1"/>
  <c r="AA10" i="1" s="1"/>
  <c r="Z10" i="1"/>
  <c r="L7" i="1"/>
  <c r="AA7" i="1" s="1"/>
  <c r="Z7" i="1"/>
  <c r="L12" i="1"/>
  <c r="Z12" i="1"/>
  <c r="Z11" i="1"/>
  <c r="R11" i="1"/>
  <c r="R32" i="1" s="1"/>
  <c r="X11" i="1"/>
  <c r="W9" i="1"/>
  <c r="W12" i="1"/>
  <c r="W7" i="1"/>
  <c r="W11" i="1"/>
  <c r="W10" i="1"/>
  <c r="W8" i="1"/>
  <c r="I22" i="1"/>
  <c r="I11" i="1"/>
  <c r="I7" i="1"/>
  <c r="N28" i="1" s="1"/>
  <c r="I10" i="1"/>
  <c r="I8" i="1"/>
  <c r="N29" i="1" s="1"/>
  <c r="F9" i="1"/>
  <c r="F12" i="1"/>
  <c r="V6" i="1"/>
  <c r="P6" i="1"/>
  <c r="P26" i="1" s="1"/>
  <c r="M6" i="1"/>
  <c r="M26" i="1" s="1"/>
  <c r="K6" i="1"/>
  <c r="K26" i="1" s="1"/>
  <c r="X9" i="1" l="1"/>
  <c r="I9" i="1"/>
  <c r="O30" i="1" s="1"/>
  <c r="F30" i="1"/>
  <c r="P30" i="1"/>
  <c r="Q30" i="1"/>
  <c r="R30" i="1"/>
  <c r="M32" i="1"/>
  <c r="J32" i="1"/>
  <c r="I32" i="1"/>
  <c r="O32" i="1"/>
  <c r="L32" i="1"/>
  <c r="N32" i="1"/>
  <c r="K32" i="1"/>
  <c r="X10" i="1"/>
  <c r="O29" i="1"/>
  <c r="I12" i="1"/>
  <c r="O33" i="1" s="1"/>
  <c r="F33" i="1"/>
  <c r="P33" i="1"/>
  <c r="Q33" i="1"/>
  <c r="R33" i="1"/>
  <c r="I29" i="1"/>
  <c r="M29" i="1"/>
  <c r="J29" i="1"/>
  <c r="I28" i="1"/>
  <c r="L28" i="1"/>
  <c r="M28" i="1"/>
  <c r="K28" i="1"/>
  <c r="J28" i="1"/>
  <c r="O31" i="1"/>
  <c r="L31" i="1"/>
  <c r="N31" i="1"/>
  <c r="K31" i="1"/>
  <c r="M31" i="1"/>
  <c r="J31" i="1"/>
  <c r="I31" i="1"/>
  <c r="O28" i="1"/>
  <c r="K29" i="1"/>
  <c r="AA12" i="1"/>
  <c r="AA8" i="1"/>
  <c r="L29" i="1"/>
  <c r="AA9" i="1"/>
  <c r="F18" i="1"/>
  <c r="F16" i="1"/>
  <c r="F17" i="1"/>
  <c r="F20" i="1"/>
  <c r="F19" i="1"/>
  <c r="L16" i="1"/>
  <c r="L20" i="1"/>
  <c r="L17" i="1"/>
  <c r="L18" i="1"/>
  <c r="L19" i="1"/>
  <c r="W19" i="1"/>
  <c r="W20" i="1"/>
  <c r="W17" i="1"/>
  <c r="W18" i="1"/>
  <c r="AA11" i="1"/>
  <c r="R20" i="1"/>
  <c r="R19" i="1"/>
  <c r="R18" i="1"/>
  <c r="R17" i="1"/>
  <c r="Z20" i="1"/>
  <c r="Z19" i="1"/>
  <c r="Z17" i="1"/>
  <c r="Z18" i="1"/>
  <c r="O17" i="1"/>
  <c r="O18" i="1"/>
  <c r="O20" i="1"/>
  <c r="O19" i="1"/>
  <c r="X7" i="1"/>
  <c r="L6" i="1"/>
  <c r="Z6" i="1"/>
  <c r="X8" i="1"/>
  <c r="X12" i="1"/>
  <c r="W6" i="1"/>
  <c r="Q6" i="1"/>
  <c r="Q26" i="1" s="1"/>
  <c r="N6" i="1"/>
  <c r="N26" i="1" s="1"/>
  <c r="L30" i="1" l="1"/>
  <c r="R37" i="1"/>
  <c r="Q36" i="1"/>
  <c r="F36" i="1"/>
  <c r="P36" i="1"/>
  <c r="F39" i="1"/>
  <c r="F35" i="1"/>
  <c r="F38" i="1"/>
  <c r="Q39" i="1"/>
  <c r="R39" i="1"/>
  <c r="P38" i="1"/>
  <c r="Q38" i="1"/>
  <c r="Q35" i="1"/>
  <c r="R36" i="1"/>
  <c r="P35" i="1"/>
  <c r="F37" i="1"/>
  <c r="Q37" i="1"/>
  <c r="R38" i="1"/>
  <c r="R35" i="1"/>
  <c r="P37" i="1"/>
  <c r="P39" i="1"/>
  <c r="L33" i="1"/>
  <c r="L35" i="1" s="1"/>
  <c r="I30" i="1"/>
  <c r="M30" i="1"/>
  <c r="J30" i="1"/>
  <c r="K30" i="1"/>
  <c r="N30" i="1"/>
  <c r="X6" i="1"/>
  <c r="L26" i="1"/>
  <c r="I33" i="1"/>
  <c r="M33" i="1"/>
  <c r="J33" i="1"/>
  <c r="K33" i="1"/>
  <c r="N33" i="1"/>
  <c r="O36" i="1"/>
  <c r="X17" i="1"/>
  <c r="X18" i="1"/>
  <c r="X19" i="1"/>
  <c r="X20" i="1"/>
  <c r="AA19" i="1"/>
  <c r="AA20" i="1"/>
  <c r="AA17" i="1"/>
  <c r="AA18" i="1"/>
  <c r="I17" i="1"/>
  <c r="I20" i="1"/>
  <c r="I16" i="1"/>
  <c r="I19" i="1"/>
  <c r="I18" i="1"/>
  <c r="O6" i="1"/>
  <c r="O26" i="1" s="1"/>
  <c r="AA6" i="1"/>
  <c r="R6" i="1"/>
  <c r="R26" i="1" s="1"/>
  <c r="L38" i="1" l="1"/>
  <c r="L37" i="1"/>
  <c r="J35" i="1"/>
  <c r="K39" i="1"/>
  <c r="J37" i="1"/>
  <c r="I37" i="1"/>
  <c r="K38" i="1"/>
  <c r="M38" i="1"/>
  <c r="K36" i="1"/>
  <c r="K37" i="1"/>
  <c r="I36" i="1"/>
  <c r="M37" i="1"/>
  <c r="N38" i="1"/>
  <c r="N35" i="1"/>
  <c r="N37" i="1"/>
  <c r="N36" i="1"/>
  <c r="N39" i="1"/>
  <c r="I35" i="1"/>
  <c r="J36" i="1"/>
  <c r="M36" i="1"/>
  <c r="L36" i="1"/>
  <c r="O37" i="1"/>
  <c r="O38" i="1"/>
  <c r="O39" i="1"/>
  <c r="K35" i="1"/>
  <c r="I38" i="1"/>
  <c r="I39" i="1"/>
  <c r="J38" i="1"/>
  <c r="M39" i="1"/>
  <c r="M35" i="1"/>
  <c r="L39" i="1"/>
  <c r="J39" i="1"/>
  <c r="O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U10" authorId="0" shapeId="0" xr:uid="{67577B68-EF83-4A82-8776-91EB63911781}">
      <text>
        <r>
          <rPr>
            <b/>
            <sz val="9"/>
            <color indexed="81"/>
            <rFont val="Tahoma"/>
            <charset val="1"/>
          </rPr>
          <t>Windows User:</t>
        </r>
        <r>
          <rPr>
            <sz val="9"/>
            <color indexed="81"/>
            <rFont val="Tahoma"/>
            <charset val="1"/>
          </rPr>
          <t xml:space="preserve">
Check why tax rates are negative and how long will it get benefits</t>
        </r>
      </text>
    </comment>
  </commentList>
</comments>
</file>

<file path=xl/sharedStrings.xml><?xml version="1.0" encoding="utf-8"?>
<sst xmlns="http://schemas.openxmlformats.org/spreadsheetml/2006/main" count="73" uniqueCount="44">
  <si>
    <t>Comparable companies - FCMG</t>
  </si>
  <si>
    <t>Operating Statistics:</t>
  </si>
  <si>
    <t>Capitalization</t>
  </si>
  <si>
    <t>Projected</t>
  </si>
  <si>
    <t>Share</t>
  </si>
  <si>
    <t>Equity</t>
  </si>
  <si>
    <t>Enterprise</t>
  </si>
  <si>
    <t>Revenue</t>
  </si>
  <si>
    <t>EBITDA</t>
  </si>
  <si>
    <t>Net Income</t>
  </si>
  <si>
    <t>EBITDA Margin</t>
  </si>
  <si>
    <t>Company Name</t>
  </si>
  <si>
    <t>Ticker</t>
  </si>
  <si>
    <t>Price</t>
  </si>
  <si>
    <t>Shares</t>
  </si>
  <si>
    <t>Value</t>
  </si>
  <si>
    <t>Cash</t>
  </si>
  <si>
    <t>Debt</t>
  </si>
  <si>
    <t>LTM</t>
  </si>
  <si>
    <t>Growth</t>
  </si>
  <si>
    <t>Godrej Consumer</t>
  </si>
  <si>
    <t>Dabur India</t>
  </si>
  <si>
    <t>Marico</t>
  </si>
  <si>
    <t>Emami</t>
  </si>
  <si>
    <t>Bajaj Consumer</t>
  </si>
  <si>
    <t>Jyothy Labs</t>
  </si>
  <si>
    <t>DABUR</t>
  </si>
  <si>
    <t>MARICO</t>
  </si>
  <si>
    <t>HUL</t>
  </si>
  <si>
    <t>GODREJCP</t>
  </si>
  <si>
    <t>JYOTHYLAB</t>
  </si>
  <si>
    <t>HINDUNILVR</t>
  </si>
  <si>
    <t>EMAMILTD</t>
  </si>
  <si>
    <t>BAJAJCON</t>
  </si>
  <si>
    <t>Number of</t>
  </si>
  <si>
    <t>Net Profit Margin</t>
  </si>
  <si>
    <t>Maximum</t>
  </si>
  <si>
    <t>75th Percentile</t>
  </si>
  <si>
    <t>Median</t>
  </si>
  <si>
    <t>25th Percentile</t>
  </si>
  <si>
    <t>Minimum</t>
  </si>
  <si>
    <t>Valuation Statistics:</t>
  </si>
  <si>
    <t>Enterprise Value /</t>
  </si>
  <si>
    <t>P / E Multiple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</si>
</sst>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&quot;FY&quot;yy"/>
    <numFmt numFmtId="165" formatCode="_(* #,##0.00_);_(* \(#,##0.00\);_(* &quot;-&quot;??_);_(@_)"/>
    <numFmt numFmtId="170" formatCode="_ &quot;₹&quot;\ * #,##0_ ;_ &quot;₹&quot;\ * \-#,##0_ ;_ &quot;₹&quot;\ * &quot;-&quot;??_ ;_ @_ "/>
    <numFmt numFmtId="171" formatCode="0.0\ \x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9"/>
      <name val="Calibri"/>
      <family val="2"/>
      <scheme val="minor"/>
    </font>
    <font>
      <sz val="10"/>
      <name val="Arial"/>
      <family val="2"/>
    </font>
    <font>
      <b/>
      <u/>
      <sz val="12"/>
      <color indexed="9"/>
      <name val="Calibri"/>
      <family val="2"/>
      <scheme val="minor"/>
    </font>
    <font>
      <u/>
      <sz val="12"/>
      <color indexed="9"/>
      <name val="Calibri"/>
      <family val="2"/>
      <scheme val="minor"/>
    </font>
    <font>
      <sz val="12"/>
      <color indexed="9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0" fontId="3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2" fillId="2" borderId="0" xfId="2" applyFont="1" applyFill="1" applyAlignment="1">
      <alignment horizontal="left"/>
    </xf>
    <xf numFmtId="0" fontId="2" fillId="2" borderId="0" xfId="3" applyFont="1" applyFill="1"/>
    <xf numFmtId="0" fontId="4" fillId="2" borderId="0" xfId="3" applyFont="1" applyFill="1" applyAlignment="1">
      <alignment horizontal="centerContinuous"/>
    </xf>
    <xf numFmtId="0" fontId="5" fillId="2" borderId="0" xfId="3" applyFont="1" applyFill="1" applyAlignment="1">
      <alignment horizontal="centerContinuous"/>
    </xf>
    <xf numFmtId="0" fontId="6" fillId="2" borderId="0" xfId="3" applyFont="1" applyFill="1"/>
    <xf numFmtId="0" fontId="2" fillId="2" borderId="0" xfId="3" applyFont="1" applyFill="1" applyAlignment="1">
      <alignment horizontal="center"/>
    </xf>
    <xf numFmtId="0" fontId="6" fillId="2" borderId="0" xfId="3" applyFont="1" applyFill="1" applyAlignment="1">
      <alignment horizontal="centerContinuous"/>
    </xf>
    <xf numFmtId="0" fontId="2" fillId="2" borderId="1" xfId="3" applyFont="1" applyFill="1" applyBorder="1"/>
    <xf numFmtId="0" fontId="2" fillId="2" borderId="1" xfId="3" applyFont="1" applyFill="1" applyBorder="1" applyAlignment="1">
      <alignment horizontal="center"/>
    </xf>
    <xf numFmtId="14" fontId="2" fillId="2" borderId="1" xfId="3" applyNumberFormat="1" applyFont="1" applyFill="1" applyBorder="1" applyAlignment="1">
      <alignment horizontal="center"/>
    </xf>
    <xf numFmtId="164" fontId="7" fillId="3" borderId="1" xfId="0" applyNumberFormat="1" applyFont="1" applyFill="1" applyBorder="1" applyAlignment="1">
      <alignment horizontal="center"/>
    </xf>
    <xf numFmtId="3" fontId="0" fillId="0" borderId="0" xfId="0" applyNumberFormat="1"/>
    <xf numFmtId="165" fontId="0" fillId="0" borderId="0" xfId="1" applyNumberFormat="1" applyFont="1" applyBorder="1" applyAlignment="1"/>
    <xf numFmtId="9" fontId="0" fillId="0" borderId="0" xfId="0" applyNumberFormat="1"/>
    <xf numFmtId="1" fontId="0" fillId="0" borderId="0" xfId="0" applyNumberFormat="1"/>
    <xf numFmtId="0" fontId="10" fillId="0" borderId="2" xfId="3" applyFont="1" applyBorder="1"/>
    <xf numFmtId="0" fontId="10" fillId="0" borderId="3" xfId="3" applyFont="1" applyBorder="1"/>
    <xf numFmtId="0" fontId="10" fillId="0" borderId="5" xfId="3" applyFont="1" applyBorder="1"/>
    <xf numFmtId="164" fontId="2" fillId="2" borderId="1" xfId="3" applyNumberFormat="1" applyFont="1" applyFill="1" applyBorder="1" applyAlignment="1">
      <alignment horizontal="center"/>
    </xf>
    <xf numFmtId="0" fontId="12" fillId="0" borderId="0" xfId="0" applyFont="1"/>
    <xf numFmtId="170" fontId="0" fillId="0" borderId="0" xfId="4" applyNumberFormat="1" applyFont="1"/>
    <xf numFmtId="0" fontId="11" fillId="4" borderId="4" xfId="3" applyFont="1" applyFill="1" applyBorder="1"/>
    <xf numFmtId="170" fontId="0" fillId="0" borderId="6" xfId="4" applyNumberFormat="1" applyFont="1" applyBorder="1"/>
    <xf numFmtId="9" fontId="0" fillId="0" borderId="6" xfId="0" applyNumberFormat="1" applyBorder="1"/>
    <xf numFmtId="9" fontId="0" fillId="0" borderId="7" xfId="0" applyNumberFormat="1" applyBorder="1"/>
    <xf numFmtId="3" fontId="0" fillId="0" borderId="0" xfId="0" applyNumberFormat="1" applyBorder="1"/>
    <xf numFmtId="9" fontId="0" fillId="0" borderId="0" xfId="0" applyNumberFormat="1" applyBorder="1"/>
    <xf numFmtId="9" fontId="0" fillId="0" borderId="8" xfId="0" applyNumberFormat="1" applyBorder="1"/>
    <xf numFmtId="3" fontId="0" fillId="0" borderId="1" xfId="0" applyNumberFormat="1" applyBorder="1"/>
    <xf numFmtId="9" fontId="0" fillId="0" borderId="1" xfId="0" applyNumberFormat="1" applyBorder="1"/>
    <xf numFmtId="9" fontId="0" fillId="0" borderId="9" xfId="0" applyNumberFormat="1" applyBorder="1"/>
    <xf numFmtId="0" fontId="0" fillId="0" borderId="6" xfId="0" applyBorder="1"/>
    <xf numFmtId="3" fontId="0" fillId="0" borderId="6" xfId="0" applyNumberFormat="1" applyBorder="1"/>
    <xf numFmtId="0" fontId="0" fillId="0" borderId="0" xfId="0" applyBorder="1"/>
    <xf numFmtId="0" fontId="0" fillId="0" borderId="1" xfId="0" applyBorder="1"/>
    <xf numFmtId="0" fontId="0" fillId="4" borderId="10" xfId="0" applyFill="1" applyBorder="1"/>
    <xf numFmtId="170" fontId="0" fillId="4" borderId="10" xfId="4" applyNumberFormat="1" applyFont="1" applyFill="1" applyBorder="1"/>
    <xf numFmtId="9" fontId="0" fillId="4" borderId="10" xfId="0" applyNumberFormat="1" applyFill="1" applyBorder="1"/>
    <xf numFmtId="9" fontId="0" fillId="4" borderId="11" xfId="0" applyNumberFormat="1" applyFill="1" applyBorder="1"/>
    <xf numFmtId="0" fontId="0" fillId="4" borderId="4" xfId="0" applyFill="1" applyBorder="1"/>
    <xf numFmtId="171" fontId="0" fillId="0" borderId="0" xfId="0" applyNumberFormat="1"/>
    <xf numFmtId="171" fontId="0" fillId="0" borderId="6" xfId="0" applyNumberFormat="1" applyBorder="1"/>
    <xf numFmtId="171" fontId="0" fillId="0" borderId="7" xfId="0" applyNumberFormat="1" applyBorder="1"/>
    <xf numFmtId="171" fontId="0" fillId="0" borderId="0" xfId="0" applyNumberFormat="1" applyBorder="1"/>
    <xf numFmtId="171" fontId="0" fillId="0" borderId="8" xfId="0" applyNumberFormat="1" applyBorder="1"/>
    <xf numFmtId="171" fontId="0" fillId="4" borderId="10" xfId="0" applyNumberFormat="1" applyFill="1" applyBorder="1"/>
    <xf numFmtId="171" fontId="0" fillId="4" borderId="11" xfId="0" applyNumberFormat="1" applyFill="1" applyBorder="1"/>
    <xf numFmtId="171" fontId="0" fillId="0" borderId="1" xfId="0" applyNumberFormat="1" applyBorder="1"/>
    <xf numFmtId="171" fontId="0" fillId="0" borderId="9" xfId="0" applyNumberFormat="1" applyBorder="1"/>
    <xf numFmtId="3" fontId="13" fillId="0" borderId="0" xfId="0" applyNumberFormat="1" applyFont="1"/>
    <xf numFmtId="170" fontId="13" fillId="0" borderId="0" xfId="4" applyNumberFormat="1" applyFont="1"/>
    <xf numFmtId="0" fontId="0" fillId="5" borderId="0" xfId="0" applyFill="1"/>
    <xf numFmtId="9" fontId="0" fillId="5" borderId="0" xfId="0" applyNumberFormat="1" applyFill="1"/>
  </cellXfs>
  <cellStyles count="5">
    <cellStyle name="Comma" xfId="1" builtinId="3"/>
    <cellStyle name="Currency" xfId="4" builtinId="4"/>
    <cellStyle name="Normal" xfId="0" builtinId="0"/>
    <cellStyle name="Normal 2" xfId="3" xr:uid="{0CB0E7CD-78A5-446E-817D-F94AD8FCC686}"/>
    <cellStyle name="Normal 3 2" xfId="2" xr:uid="{72237F4E-64ED-49C1-8CD8-76C542D3C3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925A6-FA8E-42B7-A60D-588866F2CF63}">
  <dimension ref="B1:AA41"/>
  <sheetViews>
    <sheetView showGridLines="0" tabSelected="1" zoomScale="89" zoomScaleNormal="89" workbookViewId="0">
      <selection activeCell="D7" sqref="D7"/>
    </sheetView>
  </sheetViews>
  <sheetFormatPr defaultRowHeight="15" outlineLevelCol="1" x14ac:dyDescent="0.25"/>
  <cols>
    <col min="1" max="1" width="3" customWidth="1"/>
    <col min="2" max="2" width="25.28515625" customWidth="1"/>
    <col min="3" max="3" width="12.140625" customWidth="1" outlineLevel="1"/>
    <col min="4" max="4" width="6.5703125" customWidth="1" outlineLevel="1"/>
    <col min="5" max="5" width="11.5703125" customWidth="1" outlineLevel="1"/>
    <col min="6" max="6" width="14.7109375" bestFit="1" customWidth="1"/>
    <col min="7" max="8" width="9.140625" customWidth="1" outlineLevel="1"/>
    <col min="9" max="9" width="11.5703125" bestFit="1" customWidth="1"/>
    <col min="10" max="15" width="9.85546875" style="12" bestFit="1" customWidth="1"/>
    <col min="16" max="16" width="8.7109375" style="12" bestFit="1" customWidth="1"/>
    <col min="17" max="18" width="9.85546875" style="12" bestFit="1" customWidth="1"/>
    <col min="19" max="20" width="10.42578125" style="12" bestFit="1" customWidth="1"/>
    <col min="21" max="21" width="12.28515625" style="12" customWidth="1"/>
    <col min="22" max="22" width="5.28515625" bestFit="1" customWidth="1"/>
    <col min="23" max="24" width="5.85546875" bestFit="1" customWidth="1"/>
    <col min="25" max="25" width="5.28515625" bestFit="1" customWidth="1"/>
    <col min="26" max="27" width="5.85546875" bestFit="1" customWidth="1"/>
  </cols>
  <sheetData>
    <row r="1" spans="2:27" x14ac:dyDescent="0.25">
      <c r="J1"/>
      <c r="K1"/>
      <c r="L1"/>
      <c r="M1"/>
      <c r="N1"/>
      <c r="O1"/>
      <c r="P1"/>
      <c r="Q1"/>
      <c r="R1"/>
      <c r="S1"/>
      <c r="T1"/>
      <c r="U1"/>
    </row>
    <row r="2" spans="2:27" x14ac:dyDescent="0.25">
      <c r="J2"/>
      <c r="K2"/>
      <c r="L2"/>
      <c r="M2"/>
      <c r="N2"/>
      <c r="O2"/>
      <c r="P2"/>
      <c r="Q2"/>
      <c r="R2"/>
      <c r="S2"/>
      <c r="T2"/>
      <c r="U2"/>
    </row>
    <row r="3" spans="2:27" x14ac:dyDescent="0.25">
      <c r="B3" s="20" t="s">
        <v>0</v>
      </c>
      <c r="I3" s="12"/>
      <c r="J3"/>
      <c r="K3"/>
      <c r="L3"/>
      <c r="M3"/>
      <c r="N3"/>
      <c r="O3"/>
      <c r="P3"/>
      <c r="Q3"/>
      <c r="R3"/>
      <c r="S3"/>
      <c r="T3"/>
      <c r="U3"/>
    </row>
    <row r="4" spans="2:27" ht="15.75" x14ac:dyDescent="0.25">
      <c r="B4" s="1" t="s">
        <v>1</v>
      </c>
      <c r="C4" s="2"/>
      <c r="D4" s="2"/>
      <c r="E4" s="2"/>
      <c r="F4" s="3" t="s">
        <v>2</v>
      </c>
      <c r="G4" s="3"/>
      <c r="H4" s="3"/>
      <c r="I4" s="4"/>
      <c r="J4" s="5"/>
      <c r="K4" s="5"/>
      <c r="L4" s="5"/>
      <c r="M4" s="5"/>
      <c r="N4" s="5"/>
      <c r="O4" s="5"/>
      <c r="P4" s="5"/>
      <c r="Q4" s="5"/>
      <c r="R4" s="5"/>
      <c r="S4" s="6" t="s">
        <v>3</v>
      </c>
      <c r="T4" s="6" t="s">
        <v>3</v>
      </c>
      <c r="U4" s="6" t="s">
        <v>3</v>
      </c>
      <c r="V4" s="3"/>
      <c r="W4" s="3"/>
      <c r="X4" s="7"/>
      <c r="Y4" s="3"/>
      <c r="Z4" s="3"/>
      <c r="AA4" s="7"/>
    </row>
    <row r="5" spans="2:27" ht="15.75" x14ac:dyDescent="0.25">
      <c r="B5" s="5"/>
      <c r="C5" s="5"/>
      <c r="D5" s="6" t="s">
        <v>4</v>
      </c>
      <c r="E5" s="6" t="s">
        <v>34</v>
      </c>
      <c r="F5" s="6" t="s">
        <v>5</v>
      </c>
      <c r="G5" s="6"/>
      <c r="H5" s="6"/>
      <c r="I5" s="6" t="s">
        <v>6</v>
      </c>
      <c r="J5" s="3" t="s">
        <v>7</v>
      </c>
      <c r="K5" s="3"/>
      <c r="L5" s="3"/>
      <c r="M5" s="3" t="s">
        <v>8</v>
      </c>
      <c r="N5" s="3"/>
      <c r="O5" s="3"/>
      <c r="P5" s="3" t="s">
        <v>9</v>
      </c>
      <c r="Q5" s="3"/>
      <c r="R5" s="3"/>
      <c r="S5" s="6" t="s">
        <v>7</v>
      </c>
      <c r="T5" s="6" t="s">
        <v>8</v>
      </c>
      <c r="U5" s="6" t="s">
        <v>9</v>
      </c>
      <c r="V5" s="3" t="s">
        <v>10</v>
      </c>
      <c r="W5" s="3"/>
      <c r="X5" s="3"/>
      <c r="Y5" s="3" t="s">
        <v>35</v>
      </c>
      <c r="Z5" s="3"/>
      <c r="AA5" s="3"/>
    </row>
    <row r="6" spans="2:27" ht="15.75" x14ac:dyDescent="0.25">
      <c r="B6" s="8" t="s">
        <v>11</v>
      </c>
      <c r="C6" s="8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17</v>
      </c>
      <c r="I6" s="9" t="s">
        <v>15</v>
      </c>
      <c r="J6" s="10" t="s">
        <v>18</v>
      </c>
      <c r="K6" s="11">
        <f>EOMONTH(DATE(2022,12,31),12)</f>
        <v>45291</v>
      </c>
      <c r="L6" s="11">
        <f>EOMONTH(K6,12)</f>
        <v>45657</v>
      </c>
      <c r="M6" s="10" t="str">
        <f>$J$6</f>
        <v>LTM</v>
      </c>
      <c r="N6" s="11">
        <f>+$K$6</f>
        <v>45291</v>
      </c>
      <c r="O6" s="11">
        <f>+$L$6</f>
        <v>45657</v>
      </c>
      <c r="P6" s="10" t="str">
        <f>$J$6</f>
        <v>LTM</v>
      </c>
      <c r="Q6" s="11">
        <f>+$K$6</f>
        <v>45291</v>
      </c>
      <c r="R6" s="11">
        <f>+$L$6</f>
        <v>45657</v>
      </c>
      <c r="S6" s="9" t="s">
        <v>19</v>
      </c>
      <c r="T6" s="9" t="s">
        <v>19</v>
      </c>
      <c r="U6" s="9" t="s">
        <v>19</v>
      </c>
      <c r="V6" s="10" t="str">
        <f>$J$6</f>
        <v>LTM</v>
      </c>
      <c r="W6" s="11">
        <f>+$K$6</f>
        <v>45291</v>
      </c>
      <c r="X6" s="11">
        <f>+$L$6</f>
        <v>45657</v>
      </c>
      <c r="Y6" s="10" t="str">
        <f>$J$6</f>
        <v>LTM</v>
      </c>
      <c r="Z6" s="11">
        <f>+$K$6</f>
        <v>45291</v>
      </c>
      <c r="AA6" s="11">
        <f>+$L$6</f>
        <v>45657</v>
      </c>
    </row>
    <row r="7" spans="2:27" x14ac:dyDescent="0.25">
      <c r="B7" s="52" t="s">
        <v>20</v>
      </c>
      <c r="C7" t="s">
        <v>29</v>
      </c>
      <c r="D7">
        <v>959.85</v>
      </c>
      <c r="E7">
        <v>102</v>
      </c>
      <c r="F7" s="21">
        <f t="shared" ref="F7:F11" si="0">D7*E7</f>
        <v>97904.7</v>
      </c>
      <c r="G7" s="21">
        <v>473</v>
      </c>
      <c r="H7" s="21">
        <v>1164</v>
      </c>
      <c r="I7" s="21">
        <f t="shared" ref="I7:I12" si="1">F7+H7-G7</f>
        <v>98595.7</v>
      </c>
      <c r="J7" s="51">
        <v>13032</v>
      </c>
      <c r="K7" s="21">
        <f t="shared" ref="K7:L7" si="2">J7*(1+$S7)</f>
        <v>13813.92</v>
      </c>
      <c r="L7" s="21">
        <f t="shared" si="2"/>
        <v>14642.755200000001</v>
      </c>
      <c r="M7" s="51">
        <v>2253</v>
      </c>
      <c r="N7" s="21">
        <f t="shared" ref="N7:O7" si="3">M7*(1+$T7)</f>
        <v>2320.59</v>
      </c>
      <c r="O7" s="21">
        <f t="shared" si="3"/>
        <v>2390.2077000000004</v>
      </c>
      <c r="P7" s="51">
        <v>1614</v>
      </c>
      <c r="Q7" s="21">
        <f t="shared" ref="Q7:R7" si="4">P7*(1+$U7)</f>
        <v>1694.7</v>
      </c>
      <c r="R7" s="21">
        <f t="shared" si="4"/>
        <v>1779.4350000000002</v>
      </c>
      <c r="S7" s="14">
        <v>0.06</v>
      </c>
      <c r="T7" s="14">
        <v>0.03</v>
      </c>
      <c r="U7" s="14">
        <v>0.05</v>
      </c>
      <c r="V7" s="14">
        <f t="shared" ref="V7:V12" si="5">M7/J7</f>
        <v>0.17288213627992632</v>
      </c>
      <c r="W7" s="14">
        <f t="shared" ref="W7:W12" si="6">N7/K7</f>
        <v>0.16798924563049447</v>
      </c>
      <c r="X7" s="14">
        <f t="shared" ref="X7:X12" si="7">O7/L7</f>
        <v>0.16323483301831065</v>
      </c>
      <c r="Y7" s="14">
        <f t="shared" ref="Y7:Y12" si="8">P7/J7</f>
        <v>0.12384898710865562</v>
      </c>
      <c r="Z7" s="14">
        <f t="shared" ref="Z7:Z12" si="9">Q7/K7</f>
        <v>0.12268060043781924</v>
      </c>
      <c r="AA7" s="14">
        <f t="shared" ref="AA7:AA12" si="10">R7/L7</f>
        <v>0.12152323628274547</v>
      </c>
    </row>
    <row r="8" spans="2:27" x14ac:dyDescent="0.25">
      <c r="B8" s="52" t="s">
        <v>21</v>
      </c>
      <c r="C8" t="s">
        <v>26</v>
      </c>
      <c r="D8">
        <v>533.6</v>
      </c>
      <c r="E8">
        <v>177</v>
      </c>
      <c r="F8" s="12">
        <f t="shared" si="0"/>
        <v>94447.2</v>
      </c>
      <c r="G8" s="12">
        <v>564</v>
      </c>
      <c r="H8" s="12">
        <v>1068</v>
      </c>
      <c r="I8" s="12">
        <f t="shared" si="1"/>
        <v>94951.2</v>
      </c>
      <c r="J8" s="50">
        <v>11370</v>
      </c>
      <c r="K8" s="12">
        <f t="shared" ref="K8:L8" si="11">J8*(1+$S8)</f>
        <v>12165.900000000001</v>
      </c>
      <c r="L8" s="12">
        <f t="shared" si="11"/>
        <v>13017.513000000003</v>
      </c>
      <c r="M8" s="50">
        <v>2205</v>
      </c>
      <c r="N8" s="12">
        <f t="shared" ref="N8:O8" si="12">M8*(1+$T8)</f>
        <v>2337.3000000000002</v>
      </c>
      <c r="O8" s="12">
        <f t="shared" si="12"/>
        <v>2477.5380000000005</v>
      </c>
      <c r="P8" s="50">
        <v>1703</v>
      </c>
      <c r="Q8" s="12">
        <f t="shared" ref="Q8:R8" si="13">P8*(1+$U8)</f>
        <v>1805.18</v>
      </c>
      <c r="R8" s="12">
        <f t="shared" si="13"/>
        <v>1913.4908000000003</v>
      </c>
      <c r="S8" s="14">
        <v>7.0000000000000007E-2</v>
      </c>
      <c r="T8" s="14">
        <v>0.06</v>
      </c>
      <c r="U8" s="14">
        <v>0.06</v>
      </c>
      <c r="V8" s="14">
        <f t="shared" si="5"/>
        <v>0.19393139841688653</v>
      </c>
      <c r="W8" s="14">
        <f t="shared" si="6"/>
        <v>0.19211895544102778</v>
      </c>
      <c r="X8" s="14">
        <f t="shared" si="7"/>
        <v>0.19032345118456959</v>
      </c>
      <c r="Y8" s="14">
        <f t="shared" si="8"/>
        <v>0.14978012313104661</v>
      </c>
      <c r="Z8" s="14">
        <f t="shared" si="9"/>
        <v>0.14838030889617701</v>
      </c>
      <c r="AA8" s="14">
        <f t="shared" si="10"/>
        <v>0.14699357703733423</v>
      </c>
    </row>
    <row r="9" spans="2:27" x14ac:dyDescent="0.25">
      <c r="B9" s="52" t="s">
        <v>22</v>
      </c>
      <c r="C9" t="s">
        <v>27</v>
      </c>
      <c r="D9">
        <v>479.95</v>
      </c>
      <c r="E9">
        <v>129</v>
      </c>
      <c r="F9" s="12">
        <f t="shared" si="0"/>
        <v>61913.549999999996</v>
      </c>
      <c r="G9" s="12">
        <v>569</v>
      </c>
      <c r="H9" s="12">
        <v>533</v>
      </c>
      <c r="I9" s="12">
        <f t="shared" si="1"/>
        <v>61877.549999999996</v>
      </c>
      <c r="J9" s="50">
        <v>9685</v>
      </c>
      <c r="K9" s="12">
        <f t="shared" ref="K9:L9" si="14">J9*(1+$S9)</f>
        <v>10556.650000000001</v>
      </c>
      <c r="L9" s="12">
        <f t="shared" si="14"/>
        <v>11506.748500000003</v>
      </c>
      <c r="M9" s="50">
        <v>1763</v>
      </c>
      <c r="N9" s="12">
        <f t="shared" ref="N9:O9" si="15">M9*(1+$T9)</f>
        <v>1886.41</v>
      </c>
      <c r="O9" s="12">
        <f t="shared" si="15"/>
        <v>2018.4587000000001</v>
      </c>
      <c r="P9" s="50">
        <v>1274</v>
      </c>
      <c r="Q9" s="12">
        <f t="shared" ref="Q9:R9" si="16">P9*(1+$U9)</f>
        <v>1337.7</v>
      </c>
      <c r="R9" s="12">
        <f t="shared" si="16"/>
        <v>1404.585</v>
      </c>
      <c r="S9" s="14">
        <v>0.09</v>
      </c>
      <c r="T9" s="14">
        <v>7.0000000000000007E-2</v>
      </c>
      <c r="U9" s="14">
        <v>0.05</v>
      </c>
      <c r="V9" s="14">
        <f t="shared" si="5"/>
        <v>0.1820340733092411</v>
      </c>
      <c r="W9" s="14">
        <f t="shared" si="6"/>
        <v>0.17869399856962198</v>
      </c>
      <c r="X9" s="14">
        <f t="shared" si="7"/>
        <v>0.17541520960504173</v>
      </c>
      <c r="Y9" s="14">
        <f t="shared" si="8"/>
        <v>0.13154362416107382</v>
      </c>
      <c r="Z9" s="14">
        <f t="shared" si="9"/>
        <v>0.1267163352010344</v>
      </c>
      <c r="AA9" s="14">
        <f t="shared" si="10"/>
        <v>0.12206619445971202</v>
      </c>
    </row>
    <row r="10" spans="2:27" x14ac:dyDescent="0.25">
      <c r="B10" s="52" t="s">
        <v>23</v>
      </c>
      <c r="C10" t="s">
        <v>32</v>
      </c>
      <c r="D10">
        <v>366</v>
      </c>
      <c r="E10">
        <v>44.1</v>
      </c>
      <c r="F10" s="12">
        <f t="shared" si="0"/>
        <v>16140.6</v>
      </c>
      <c r="G10" s="12">
        <v>139</v>
      </c>
      <c r="H10" s="12">
        <v>97.5</v>
      </c>
      <c r="I10" s="12">
        <f t="shared" si="1"/>
        <v>16099.1</v>
      </c>
      <c r="J10" s="50">
        <v>3340</v>
      </c>
      <c r="K10" s="12">
        <f t="shared" ref="K10:L10" si="17">J10*(1+$S10)</f>
        <v>3507</v>
      </c>
      <c r="L10" s="12">
        <f t="shared" si="17"/>
        <v>3682.3500000000004</v>
      </c>
      <c r="M10" s="50">
        <v>814</v>
      </c>
      <c r="N10" s="12">
        <f t="shared" ref="N10:O10" si="18">M10*(1+$T10)</f>
        <v>879.12</v>
      </c>
      <c r="O10" s="12">
        <f t="shared" si="18"/>
        <v>949.44960000000003</v>
      </c>
      <c r="P10" s="50">
        <v>840</v>
      </c>
      <c r="Q10" s="12">
        <f t="shared" ref="Q10:R12" si="19">P10*(1+$U10)</f>
        <v>924.00000000000011</v>
      </c>
      <c r="R10" s="12">
        <f t="shared" si="19"/>
        <v>1016.4000000000002</v>
      </c>
      <c r="S10" s="14">
        <v>0.05</v>
      </c>
      <c r="T10" s="14">
        <v>0.08</v>
      </c>
      <c r="U10" s="14">
        <v>0.1</v>
      </c>
      <c r="V10" s="14">
        <f t="shared" si="5"/>
        <v>0.2437125748502994</v>
      </c>
      <c r="W10" s="14">
        <f t="shared" si="6"/>
        <v>0.25067579127459366</v>
      </c>
      <c r="X10" s="14">
        <f t="shared" si="7"/>
        <v>0.25783795673958204</v>
      </c>
      <c r="Y10" s="14">
        <f t="shared" si="8"/>
        <v>0.25149700598802394</v>
      </c>
      <c r="Z10" s="14">
        <f t="shared" si="9"/>
        <v>0.26347305389221559</v>
      </c>
      <c r="AA10" s="14">
        <f t="shared" si="10"/>
        <v>0.27601938979184493</v>
      </c>
    </row>
    <row r="11" spans="2:27" x14ac:dyDescent="0.25">
      <c r="B11" s="52" t="s">
        <v>25</v>
      </c>
      <c r="C11" t="s">
        <v>30</v>
      </c>
      <c r="D11">
        <v>186.05</v>
      </c>
      <c r="E11">
        <v>36.700000000000003</v>
      </c>
      <c r="F11" s="12">
        <f t="shared" si="0"/>
        <v>6828.0350000000008</v>
      </c>
      <c r="G11" s="12">
        <v>163</v>
      </c>
      <c r="H11" s="12">
        <v>160</v>
      </c>
      <c r="I11" s="12">
        <f t="shared" si="1"/>
        <v>6825.0350000000008</v>
      </c>
      <c r="J11" s="50">
        <v>2416</v>
      </c>
      <c r="K11" s="12">
        <f t="shared" ref="K11:L11" si="20">J11*(1+$S11)</f>
        <v>2657.6000000000004</v>
      </c>
      <c r="L11" s="12">
        <f t="shared" si="20"/>
        <v>2923.3600000000006</v>
      </c>
      <c r="M11" s="50">
        <v>282</v>
      </c>
      <c r="N11" s="12">
        <f t="shared" ref="N11:O11" si="21">M11*(1+$T11)</f>
        <v>318.65999999999997</v>
      </c>
      <c r="O11" s="12">
        <f t="shared" si="21"/>
        <v>360.08579999999995</v>
      </c>
      <c r="P11" s="50">
        <v>217</v>
      </c>
      <c r="Q11" s="12">
        <f t="shared" si="19"/>
        <v>260.39999999999998</v>
      </c>
      <c r="R11" s="12">
        <f t="shared" si="19"/>
        <v>312.47999999999996</v>
      </c>
      <c r="S11" s="14">
        <v>0.1</v>
      </c>
      <c r="T11" s="14">
        <v>0.13</v>
      </c>
      <c r="U11" s="14">
        <v>0.2</v>
      </c>
      <c r="V11" s="14">
        <f t="shared" si="5"/>
        <v>0.11672185430463576</v>
      </c>
      <c r="W11" s="14">
        <f t="shared" si="6"/>
        <v>0.11990517760385307</v>
      </c>
      <c r="X11" s="14">
        <f t="shared" si="7"/>
        <v>0.12317531881123087</v>
      </c>
      <c r="Y11" s="14">
        <f t="shared" si="8"/>
        <v>8.9817880794701987E-2</v>
      </c>
      <c r="Z11" s="14">
        <f t="shared" si="9"/>
        <v>9.7983142685129421E-2</v>
      </c>
      <c r="AA11" s="14">
        <f t="shared" si="10"/>
        <v>0.10689070111105026</v>
      </c>
    </row>
    <row r="12" spans="2:27" x14ac:dyDescent="0.25">
      <c r="B12" t="s">
        <v>24</v>
      </c>
      <c r="C12" t="s">
        <v>33</v>
      </c>
      <c r="D12">
        <v>155.05000000000001</v>
      </c>
      <c r="E12" s="12">
        <v>14.5</v>
      </c>
      <c r="F12" s="12">
        <f>E12*D12</f>
        <v>2248.2250000000004</v>
      </c>
      <c r="G12" s="12">
        <v>17.899999999999999</v>
      </c>
      <c r="H12" s="12">
        <v>18.3</v>
      </c>
      <c r="I12" s="12">
        <f t="shared" si="1"/>
        <v>2248.6250000000005</v>
      </c>
      <c r="J12" s="50">
        <v>930</v>
      </c>
      <c r="K12" s="12">
        <f t="shared" ref="K12:L14" si="22">J12*(1+$S12)</f>
        <v>957.9</v>
      </c>
      <c r="L12" s="12">
        <f t="shared" si="22"/>
        <v>986.63700000000006</v>
      </c>
      <c r="M12" s="50">
        <v>134</v>
      </c>
      <c r="N12" s="12">
        <f t="shared" ref="N12:O14" si="23">M12*(1+$T12)</f>
        <v>135.34</v>
      </c>
      <c r="O12" s="12">
        <f t="shared" si="23"/>
        <v>136.6934</v>
      </c>
      <c r="P12" s="50">
        <v>135</v>
      </c>
      <c r="Q12" s="12">
        <f t="shared" si="19"/>
        <v>136.35</v>
      </c>
      <c r="R12" s="12">
        <f t="shared" si="19"/>
        <v>137.71349999999998</v>
      </c>
      <c r="S12" s="14">
        <v>0.03</v>
      </c>
      <c r="T12" s="53">
        <v>0.01</v>
      </c>
      <c r="U12" s="14">
        <v>0.01</v>
      </c>
      <c r="V12" s="14">
        <f t="shared" si="5"/>
        <v>0.14408602150537633</v>
      </c>
      <c r="W12" s="14">
        <f t="shared" si="6"/>
        <v>0.14128823468002924</v>
      </c>
      <c r="X12" s="14">
        <f t="shared" si="7"/>
        <v>0.13854477381245583</v>
      </c>
      <c r="Y12" s="14">
        <f t="shared" si="8"/>
        <v>0.14516129032258066</v>
      </c>
      <c r="Z12" s="14">
        <f t="shared" si="9"/>
        <v>0.14234262449107421</v>
      </c>
      <c r="AA12" s="14">
        <f t="shared" si="10"/>
        <v>0.13957869003493684</v>
      </c>
    </row>
    <row r="13" spans="2:27" x14ac:dyDescent="0.25">
      <c r="E13" s="12"/>
      <c r="F13" s="12"/>
      <c r="G13" s="12"/>
      <c r="H13" s="12"/>
      <c r="I13" s="12"/>
      <c r="J13" s="15"/>
      <c r="K13" s="15"/>
      <c r="L13" s="15"/>
      <c r="M13" s="15"/>
      <c r="N13" s="15"/>
      <c r="O13" s="15"/>
      <c r="P13" s="15"/>
      <c r="S13" s="14"/>
      <c r="T13" s="53"/>
      <c r="U13" s="14"/>
      <c r="V13" s="14"/>
      <c r="W13" s="14"/>
      <c r="X13" s="14"/>
      <c r="Y13" s="14"/>
      <c r="Z13" s="14"/>
      <c r="AA13" s="14"/>
    </row>
    <row r="15" spans="2:27" x14ac:dyDescent="0.25">
      <c r="J15"/>
      <c r="K15"/>
      <c r="L15"/>
      <c r="M15"/>
      <c r="N15"/>
      <c r="O15"/>
      <c r="P15" s="13"/>
    </row>
    <row r="16" spans="2:27" ht="15.75" x14ac:dyDescent="0.25">
      <c r="B16" s="16" t="s">
        <v>36</v>
      </c>
      <c r="C16" s="32"/>
      <c r="D16" s="32"/>
      <c r="E16" s="32"/>
      <c r="F16" s="23">
        <f>MAX(F7:F12)</f>
        <v>97904.7</v>
      </c>
      <c r="G16" s="23">
        <f>MAX(G7:G12)</f>
        <v>569</v>
      </c>
      <c r="H16" s="23">
        <f>MAX(H7:H12)</f>
        <v>1164</v>
      </c>
      <c r="I16" s="23">
        <f>MAX(I7:I12)</f>
        <v>98595.7</v>
      </c>
      <c r="J16" s="23">
        <f>MAX(J7:J12)</f>
        <v>13032</v>
      </c>
      <c r="K16" s="23">
        <f>MAX(K7:K12)</f>
        <v>13813.92</v>
      </c>
      <c r="L16" s="23">
        <f>MAX(L7:L12)</f>
        <v>14642.755200000001</v>
      </c>
      <c r="M16" s="23">
        <f>MAX(M7:M12)</f>
        <v>2253</v>
      </c>
      <c r="N16" s="23">
        <f>MAX(N7:N12)</f>
        <v>2337.3000000000002</v>
      </c>
      <c r="O16" s="23">
        <f t="shared" ref="O16:AA16" si="24">MAX(O7:O12)</f>
        <v>2477.5380000000005</v>
      </c>
      <c r="P16" s="23">
        <f t="shared" si="24"/>
        <v>1703</v>
      </c>
      <c r="Q16" s="23">
        <f t="shared" si="24"/>
        <v>1805.18</v>
      </c>
      <c r="R16" s="23">
        <f t="shared" si="24"/>
        <v>1913.4908000000003</v>
      </c>
      <c r="S16" s="24">
        <f t="shared" si="24"/>
        <v>0.1</v>
      </c>
      <c r="T16" s="24">
        <f t="shared" si="24"/>
        <v>0.13</v>
      </c>
      <c r="U16" s="24">
        <f t="shared" si="24"/>
        <v>0.2</v>
      </c>
      <c r="V16" s="24">
        <f t="shared" si="24"/>
        <v>0.2437125748502994</v>
      </c>
      <c r="W16" s="24">
        <f t="shared" si="24"/>
        <v>0.25067579127459366</v>
      </c>
      <c r="X16" s="24">
        <f t="shared" si="24"/>
        <v>0.25783795673958204</v>
      </c>
      <c r="Y16" s="24">
        <f t="shared" si="24"/>
        <v>0.25149700598802394</v>
      </c>
      <c r="Z16" s="24">
        <f t="shared" si="24"/>
        <v>0.26347305389221559</v>
      </c>
      <c r="AA16" s="25">
        <f t="shared" si="24"/>
        <v>0.27601938979184493</v>
      </c>
    </row>
    <row r="17" spans="2:27" ht="15.75" x14ac:dyDescent="0.25">
      <c r="B17" s="17" t="s">
        <v>37</v>
      </c>
      <c r="C17" s="34"/>
      <c r="D17" s="34"/>
      <c r="E17" s="34"/>
      <c r="F17" s="26">
        <f>_xlfn.QUARTILE.INC(F7:F12,3)</f>
        <v>86313.787500000006</v>
      </c>
      <c r="G17" s="26">
        <f>_xlfn.QUARTILE.INC(G7:G12,3)</f>
        <v>541.25</v>
      </c>
      <c r="H17" s="26">
        <f>_xlfn.QUARTILE.INC(H7:H12,3)</f>
        <v>934.25</v>
      </c>
      <c r="I17" s="26">
        <f>_xlfn.QUARTILE.INC(I7:I12,3)</f>
        <v>86682.787500000006</v>
      </c>
      <c r="J17" s="26">
        <f>_xlfn.QUARTILE.INC(J7:J12,3)</f>
        <v>10948.75</v>
      </c>
      <c r="K17" s="26">
        <f>_xlfn.QUARTILE.INC(K7:K12,3)</f>
        <v>11763.587500000001</v>
      </c>
      <c r="L17" s="26">
        <f>_xlfn.QUARTILE.INC(L7:L12,3)</f>
        <v>12639.821875000003</v>
      </c>
      <c r="M17" s="26">
        <f>_xlfn.QUARTILE.INC(M7:M12,3)</f>
        <v>2094.5</v>
      </c>
      <c r="N17" s="26">
        <f>_xlfn.QUARTILE.INC(N7:N12,3)</f>
        <v>2212.0450000000001</v>
      </c>
      <c r="O17" s="26">
        <f>_xlfn.QUARTILE.INC(O7:O12,3)</f>
        <v>2297.2704500000004</v>
      </c>
      <c r="P17" s="26">
        <f>_xlfn.QUARTILE.INC(P7:P12,3)</f>
        <v>1529</v>
      </c>
      <c r="Q17" s="26">
        <f>_xlfn.QUARTILE.INC(Q7:Q12,3)</f>
        <v>1605.45</v>
      </c>
      <c r="R17" s="26">
        <f>_xlfn.QUARTILE.INC(R7:R12,3)</f>
        <v>1685.7225000000001</v>
      </c>
      <c r="S17" s="27">
        <f>_xlfn.QUARTILE.INC(S7:S12,3)</f>
        <v>8.4999999999999992E-2</v>
      </c>
      <c r="T17" s="27">
        <f>_xlfn.QUARTILE.INC(T7:T12,3)</f>
        <v>7.7499999999999999E-2</v>
      </c>
      <c r="U17" s="27">
        <f>_xlfn.QUARTILE.INC(U7:U12,3)</f>
        <v>0.09</v>
      </c>
      <c r="V17" s="27">
        <f>_xlfn.QUARTILE.INC(V7:V12,3)</f>
        <v>0.19095706713997518</v>
      </c>
      <c r="W17" s="27">
        <f>_xlfn.QUARTILE.INC(W7:W12,3)</f>
        <v>0.18876271622317634</v>
      </c>
      <c r="X17" s="27">
        <f>_xlfn.QUARTILE.INC(X7:X12,3)</f>
        <v>0.18659639078968762</v>
      </c>
      <c r="Y17" s="27">
        <f>_xlfn.QUARTILE.INC(Y7:Y12,3)</f>
        <v>0.14862541492893011</v>
      </c>
      <c r="Z17" s="27">
        <f>_xlfn.QUARTILE.INC(Z7:Z12,3)</f>
        <v>0.14687088779490132</v>
      </c>
      <c r="AA17" s="28">
        <f>_xlfn.QUARTILE.INC(AA7:AA12,3)</f>
        <v>0.1451398552867349</v>
      </c>
    </row>
    <row r="18" spans="2:27" ht="15.75" x14ac:dyDescent="0.25">
      <c r="B18" s="22" t="s">
        <v>38</v>
      </c>
      <c r="C18" s="36"/>
      <c r="D18" s="36"/>
      <c r="E18" s="36"/>
      <c r="F18" s="37">
        <f>MEDIAN(F7:F12)</f>
        <v>39027.074999999997</v>
      </c>
      <c r="G18" s="37">
        <f>MEDIAN(G7:G12)</f>
        <v>318</v>
      </c>
      <c r="H18" s="37">
        <f>MEDIAN(H7:H12)</f>
        <v>346.5</v>
      </c>
      <c r="I18" s="37">
        <f>MEDIAN(I7:I12)</f>
        <v>38988.324999999997</v>
      </c>
      <c r="J18" s="37">
        <f>MEDIAN(J7:J12)</f>
        <v>6512.5</v>
      </c>
      <c r="K18" s="37">
        <f>MEDIAN(K7:K12)</f>
        <v>7031.8250000000007</v>
      </c>
      <c r="L18" s="37">
        <f>MEDIAN(L7:L12)</f>
        <v>7594.5492500000018</v>
      </c>
      <c r="M18" s="37">
        <f>MEDIAN(M7:M12)</f>
        <v>1288.5</v>
      </c>
      <c r="N18" s="37">
        <f>MEDIAN(N7:N12)</f>
        <v>1382.7650000000001</v>
      </c>
      <c r="O18" s="37">
        <f>MEDIAN(O7:O12)</f>
        <v>1483.95415</v>
      </c>
      <c r="P18" s="37">
        <f>MEDIAN(P7:P12)</f>
        <v>1057</v>
      </c>
      <c r="Q18" s="37">
        <f>MEDIAN(Q7:Q12)</f>
        <v>1130.8500000000001</v>
      </c>
      <c r="R18" s="37">
        <f>MEDIAN(R7:R12)</f>
        <v>1210.4925000000001</v>
      </c>
      <c r="S18" s="38">
        <f>MEDIAN(S7:S12)</f>
        <v>6.5000000000000002E-2</v>
      </c>
      <c r="T18" s="38">
        <f>MEDIAN(T7:T12)</f>
        <v>6.5000000000000002E-2</v>
      </c>
      <c r="U18" s="38">
        <f>MEDIAN(U7:U12)</f>
        <v>5.5E-2</v>
      </c>
      <c r="V18" s="38">
        <f>MEDIAN(V7:V12)</f>
        <v>0.17745810479458371</v>
      </c>
      <c r="W18" s="38">
        <f>MEDIAN(W7:W12)</f>
        <v>0.17334162210005821</v>
      </c>
      <c r="X18" s="38">
        <f>MEDIAN(X7:X12)</f>
        <v>0.1693250213116762</v>
      </c>
      <c r="Y18" s="38">
        <f>MEDIAN(Y7:Y12)</f>
        <v>0.13835245724182724</v>
      </c>
      <c r="Z18" s="38">
        <f>MEDIAN(Z7:Z12)</f>
        <v>0.13452947984605429</v>
      </c>
      <c r="AA18" s="39">
        <f>MEDIAN(AA7:AA12)</f>
        <v>0.13082244224732442</v>
      </c>
    </row>
    <row r="19" spans="2:27" ht="15.75" x14ac:dyDescent="0.25">
      <c r="B19" s="17" t="s">
        <v>39</v>
      </c>
      <c r="C19" s="34"/>
      <c r="D19" s="34"/>
      <c r="E19" s="34"/>
      <c r="F19" s="26">
        <f>_xlfn.QUARTILE.INC(F7:F12,1)</f>
        <v>9156.1762500000004</v>
      </c>
      <c r="G19" s="26">
        <f>_xlfn.QUARTILE.INC(G7:G12,1)</f>
        <v>145</v>
      </c>
      <c r="H19" s="26">
        <f>_xlfn.QUARTILE.INC(H7:H12,1)</f>
        <v>113.125</v>
      </c>
      <c r="I19" s="26">
        <f>_xlfn.QUARTILE.INC(I7:I12,1)</f>
        <v>9143.5512500000004</v>
      </c>
      <c r="J19" s="26">
        <f>_xlfn.QUARTILE.INC(J7:J12,1)</f>
        <v>2647</v>
      </c>
      <c r="K19" s="26">
        <f>_xlfn.QUARTILE.INC(K7:K12,1)</f>
        <v>2869.9500000000003</v>
      </c>
      <c r="L19" s="26">
        <f>_xlfn.QUARTILE.INC(L7:L12,1)</f>
        <v>3113.1075000000005</v>
      </c>
      <c r="M19" s="26">
        <f>_xlfn.QUARTILE.INC(M7:M12,1)</f>
        <v>415</v>
      </c>
      <c r="N19" s="26">
        <f>_xlfn.QUARTILE.INC(N7:N12,1)</f>
        <v>458.77499999999998</v>
      </c>
      <c r="O19" s="26">
        <f>_xlfn.QUARTILE.INC(O7:O12,1)</f>
        <v>507.42674999999997</v>
      </c>
      <c r="P19" s="26">
        <f>_xlfn.QUARTILE.INC(P7:P12,1)</f>
        <v>372.75</v>
      </c>
      <c r="Q19" s="26">
        <f>_xlfn.QUARTILE.INC(Q7:Q12,1)</f>
        <v>426.3</v>
      </c>
      <c r="R19" s="26">
        <f>_xlfn.QUARTILE.INC(R7:R12,1)</f>
        <v>488.46000000000004</v>
      </c>
      <c r="S19" s="27">
        <f>_xlfn.QUARTILE.INC(S7:S12,1)</f>
        <v>5.2500000000000005E-2</v>
      </c>
      <c r="T19" s="27">
        <f>_xlfn.QUARTILE.INC(T7:T12,1)</f>
        <v>3.7499999999999999E-2</v>
      </c>
      <c r="U19" s="27">
        <f>_xlfn.QUARTILE.INC(U7:U12,1)</f>
        <v>0.05</v>
      </c>
      <c r="V19" s="27">
        <f>_xlfn.QUARTILE.INC(V7:V12,1)</f>
        <v>0.15128505019901384</v>
      </c>
      <c r="W19" s="27">
        <f>_xlfn.QUARTILE.INC(W7:W12,1)</f>
        <v>0.14796348741764553</v>
      </c>
      <c r="X19" s="27">
        <f>_xlfn.QUARTILE.INC(X7:X12,1)</f>
        <v>0.14471728861391953</v>
      </c>
      <c r="Y19" s="27">
        <f>_xlfn.QUARTILE.INC(Y7:Y12,1)</f>
        <v>0.12577264637176017</v>
      </c>
      <c r="Z19" s="27">
        <f>_xlfn.QUARTILE.INC(Z7:Z12,1)</f>
        <v>0.12368953412862303</v>
      </c>
      <c r="AA19" s="28">
        <f>_xlfn.QUARTILE.INC(AA7:AA12,1)</f>
        <v>0.12165897582698711</v>
      </c>
    </row>
    <row r="20" spans="2:27" ht="15.75" x14ac:dyDescent="0.25">
      <c r="B20" s="18" t="s">
        <v>40</v>
      </c>
      <c r="C20" s="35"/>
      <c r="D20" s="35"/>
      <c r="E20" s="35"/>
      <c r="F20" s="29">
        <f>MIN(F7:F12)</f>
        <v>2248.2250000000004</v>
      </c>
      <c r="G20" s="29">
        <f>MIN(G7:G12)</f>
        <v>17.899999999999999</v>
      </c>
      <c r="H20" s="29">
        <f>MIN(H7:H12)</f>
        <v>18.3</v>
      </c>
      <c r="I20" s="29">
        <f>MIN(I7:I12)</f>
        <v>2248.6250000000005</v>
      </c>
      <c r="J20" s="29">
        <f>MIN(J7:J12)</f>
        <v>930</v>
      </c>
      <c r="K20" s="29">
        <f>MIN(K7:K12)</f>
        <v>957.9</v>
      </c>
      <c r="L20" s="29">
        <f>MIN(L7:L12)</f>
        <v>986.63700000000006</v>
      </c>
      <c r="M20" s="29">
        <f>MIN(M7:M12)</f>
        <v>134</v>
      </c>
      <c r="N20" s="29">
        <f>MIN(N7:N12)</f>
        <v>135.34</v>
      </c>
      <c r="O20" s="29">
        <f>MIN(O7:O12)</f>
        <v>136.6934</v>
      </c>
      <c r="P20" s="29">
        <f>MIN(P7:P12)</f>
        <v>135</v>
      </c>
      <c r="Q20" s="29">
        <f>MIN(Q7:Q12)</f>
        <v>136.35</v>
      </c>
      <c r="R20" s="29">
        <f>MIN(R7:R12)</f>
        <v>137.71349999999998</v>
      </c>
      <c r="S20" s="30">
        <f>MIN(S7:S12)</f>
        <v>0.03</v>
      </c>
      <c r="T20" s="30">
        <f>MIN(T7:T12)</f>
        <v>0.01</v>
      </c>
      <c r="U20" s="30">
        <f>MIN(U7:U12)</f>
        <v>0.01</v>
      </c>
      <c r="V20" s="30">
        <f>MIN(V7:V12)</f>
        <v>0.11672185430463576</v>
      </c>
      <c r="W20" s="30">
        <f>MIN(W7:W12)</f>
        <v>0.11990517760385307</v>
      </c>
      <c r="X20" s="30">
        <f>MIN(X7:X12)</f>
        <v>0.12317531881123087</v>
      </c>
      <c r="Y20" s="30">
        <f>MIN(Y7:Y12)</f>
        <v>8.9817880794701987E-2</v>
      </c>
      <c r="Z20" s="30">
        <f>MIN(Z7:Z12)</f>
        <v>9.7983142685129421E-2</v>
      </c>
      <c r="AA20" s="31">
        <f>MIN(AA7:AA12)</f>
        <v>0.10689070111105026</v>
      </c>
    </row>
    <row r="21" spans="2:27" x14ac:dyDescent="0.25">
      <c r="J21"/>
      <c r="K21"/>
      <c r="L21"/>
      <c r="M21"/>
      <c r="N21"/>
      <c r="O21"/>
      <c r="P21"/>
      <c r="Q21"/>
      <c r="R21"/>
      <c r="S21"/>
      <c r="T21"/>
      <c r="U21"/>
    </row>
    <row r="22" spans="2:27" x14ac:dyDescent="0.25">
      <c r="B22" s="40" t="s">
        <v>28</v>
      </c>
      <c r="C22" s="36" t="s">
        <v>31</v>
      </c>
      <c r="D22" s="36">
        <v>2479.3000000000002</v>
      </c>
      <c r="E22" s="36">
        <v>235</v>
      </c>
      <c r="F22" s="37">
        <f>D22*E22</f>
        <v>582635.5</v>
      </c>
      <c r="G22" s="37">
        <v>3951</v>
      </c>
      <c r="H22" s="37">
        <v>1139</v>
      </c>
      <c r="I22" s="37">
        <f>F22+H22-G22</f>
        <v>579823.5</v>
      </c>
      <c r="J22" s="37">
        <v>59132</v>
      </c>
      <c r="K22" s="37">
        <f>J22*(1+$S22)</f>
        <v>65045.200000000004</v>
      </c>
      <c r="L22" s="37">
        <f>K22*(1+$S22)</f>
        <v>71549.720000000016</v>
      </c>
      <c r="M22" s="37">
        <v>13876</v>
      </c>
      <c r="N22" s="37">
        <f>M22*(1+$T22)</f>
        <v>14986.080000000002</v>
      </c>
      <c r="O22" s="37">
        <f>N22*(1+$T22)</f>
        <v>16184.966400000003</v>
      </c>
      <c r="P22" s="37">
        <v>9849</v>
      </c>
      <c r="Q22" s="37">
        <f>P22*(1+$U22)</f>
        <v>10833.900000000001</v>
      </c>
      <c r="R22" s="37">
        <f>Q22*(1+$U22)</f>
        <v>11917.290000000003</v>
      </c>
      <c r="S22" s="38">
        <v>0.1</v>
      </c>
      <c r="T22" s="38">
        <v>0.08</v>
      </c>
      <c r="U22" s="38">
        <v>0.1</v>
      </c>
      <c r="V22" s="38">
        <f>M22/J22</f>
        <v>0.23466143543259149</v>
      </c>
      <c r="W22" s="38">
        <f>N22/K22</f>
        <v>0.23039486387927166</v>
      </c>
      <c r="X22" s="38">
        <f>O22/L22</f>
        <v>0.22620586635419396</v>
      </c>
      <c r="Y22" s="38">
        <f>P22/J22</f>
        <v>0.16655956165866198</v>
      </c>
      <c r="Z22" s="38">
        <f>Q22/K22</f>
        <v>0.16655956165866198</v>
      </c>
      <c r="AA22" s="39">
        <f>R22/L22</f>
        <v>0.16655956165866198</v>
      </c>
    </row>
    <row r="23" spans="2:27" x14ac:dyDescent="0.25">
      <c r="J23"/>
      <c r="K23"/>
      <c r="L23"/>
      <c r="M23"/>
      <c r="N23"/>
      <c r="O23"/>
      <c r="P23"/>
      <c r="Q23"/>
      <c r="R23"/>
      <c r="S23"/>
      <c r="T23"/>
      <c r="U23"/>
    </row>
    <row r="24" spans="2:27" ht="15.75" x14ac:dyDescent="0.25">
      <c r="B24" s="2" t="s">
        <v>41</v>
      </c>
      <c r="C24" s="2"/>
      <c r="D24" s="2"/>
      <c r="E24" s="2"/>
      <c r="F24" s="3" t="s">
        <v>2</v>
      </c>
      <c r="G24" s="3"/>
      <c r="H24" s="3"/>
      <c r="I24" s="3"/>
      <c r="J24" s="3" t="s">
        <v>42</v>
      </c>
      <c r="K24" s="4"/>
      <c r="L24" s="4"/>
      <c r="M24" s="3" t="s">
        <v>42</v>
      </c>
      <c r="N24" s="4"/>
      <c r="O24" s="4"/>
      <c r="P24" s="5"/>
      <c r="Q24" s="5"/>
      <c r="R24" s="5"/>
      <c r="S24"/>
      <c r="T24"/>
      <c r="U24"/>
    </row>
    <row r="25" spans="2:27" ht="15.75" x14ac:dyDescent="0.25">
      <c r="B25" s="5"/>
      <c r="C25" s="5"/>
      <c r="D25" s="6"/>
      <c r="E25" s="6"/>
      <c r="F25" s="6" t="s">
        <v>5</v>
      </c>
      <c r="G25" s="6"/>
      <c r="H25" s="6"/>
      <c r="I25" s="6" t="s">
        <v>6</v>
      </c>
      <c r="J25" s="3" t="s">
        <v>7</v>
      </c>
      <c r="K25" s="4"/>
      <c r="L25" s="4"/>
      <c r="M25" s="3" t="s">
        <v>8</v>
      </c>
      <c r="N25" s="7"/>
      <c r="O25" s="7"/>
      <c r="P25" s="3" t="s">
        <v>43</v>
      </c>
      <c r="Q25" s="3"/>
      <c r="R25" s="3"/>
      <c r="S25"/>
      <c r="T25"/>
      <c r="U25"/>
    </row>
    <row r="26" spans="2:27" ht="15.75" x14ac:dyDescent="0.25">
      <c r="B26" s="8" t="s">
        <v>11</v>
      </c>
      <c r="C26" s="8"/>
      <c r="D26" s="9"/>
      <c r="E26" s="9"/>
      <c r="F26" s="9" t="s">
        <v>15</v>
      </c>
      <c r="G26" s="9"/>
      <c r="H26" s="9"/>
      <c r="I26" s="9" t="s">
        <v>15</v>
      </c>
      <c r="J26" s="10" t="str">
        <f>J6</f>
        <v>LTM</v>
      </c>
      <c r="K26" s="19">
        <f>K6</f>
        <v>45291</v>
      </c>
      <c r="L26" s="19">
        <f>L6</f>
        <v>45657</v>
      </c>
      <c r="M26" s="10" t="str">
        <f>M6</f>
        <v>LTM</v>
      </c>
      <c r="N26" s="19">
        <f>N6</f>
        <v>45291</v>
      </c>
      <c r="O26" s="19">
        <f>O6</f>
        <v>45657</v>
      </c>
      <c r="P26" s="10" t="str">
        <f>P6</f>
        <v>LTM</v>
      </c>
      <c r="Q26" s="19">
        <f>Q6</f>
        <v>45291</v>
      </c>
      <c r="R26" s="19">
        <f>R6</f>
        <v>45657</v>
      </c>
      <c r="S26"/>
      <c r="T26"/>
      <c r="U26"/>
    </row>
    <row r="27" spans="2:27" x14ac:dyDescent="0.25">
      <c r="J27"/>
      <c r="K27"/>
      <c r="L27"/>
      <c r="M27"/>
      <c r="N27"/>
      <c r="O27"/>
      <c r="P27"/>
      <c r="Q27"/>
      <c r="R27"/>
      <c r="S27"/>
      <c r="T27"/>
      <c r="U27"/>
    </row>
    <row r="28" spans="2:27" x14ac:dyDescent="0.25">
      <c r="B28" t="s">
        <v>20</v>
      </c>
      <c r="F28" s="12">
        <f>F7</f>
        <v>97904.7</v>
      </c>
      <c r="I28" s="12">
        <f>I7</f>
        <v>98595.7</v>
      </c>
      <c r="J28" s="41">
        <f>$I7/J7</f>
        <v>7.565661448741559</v>
      </c>
      <c r="K28" s="41">
        <f>$I7/K7</f>
        <v>7.1374164610769428</v>
      </c>
      <c r="L28" s="41">
        <f>$I7/L7</f>
        <v>6.7334117557329636</v>
      </c>
      <c r="M28" s="41">
        <f>$I7/M7</f>
        <v>43.761961828672881</v>
      </c>
      <c r="N28" s="41">
        <f>$I7/N7</f>
        <v>42.487341581235803</v>
      </c>
      <c r="O28" s="41">
        <f>$I7/O7</f>
        <v>41.249846195374559</v>
      </c>
      <c r="P28" s="41">
        <f>$F7/P7</f>
        <v>60.659665427509289</v>
      </c>
      <c r="Q28" s="41">
        <f>$F7/Q7</f>
        <v>57.771109930961231</v>
      </c>
      <c r="R28" s="41">
        <f>$F7/R7</f>
        <v>55.020104696153545</v>
      </c>
    </row>
    <row r="29" spans="2:27" x14ac:dyDescent="0.25">
      <c r="B29" t="s">
        <v>21</v>
      </c>
      <c r="F29" s="12">
        <f>F8</f>
        <v>94447.2</v>
      </c>
      <c r="I29" s="12">
        <f>I8</f>
        <v>94951.2</v>
      </c>
      <c r="J29" s="41">
        <f>$I8/J8</f>
        <v>8.3510290237467011</v>
      </c>
      <c r="K29" s="41">
        <f>$I8/K8</f>
        <v>7.8047000221931784</v>
      </c>
      <c r="L29" s="41">
        <f>$I8/L8</f>
        <v>7.2941121702739977</v>
      </c>
      <c r="M29" s="41">
        <f>$I8/M8</f>
        <v>43.06176870748299</v>
      </c>
      <c r="N29" s="41">
        <f>$I8/N8</f>
        <v>40.624310101399047</v>
      </c>
      <c r="O29" s="41">
        <f>$I8/O8</f>
        <v>38.324820850376454</v>
      </c>
      <c r="P29" s="41">
        <f>$F8/P8</f>
        <v>55.459307105108628</v>
      </c>
      <c r="Q29" s="41">
        <f>$F8/Q8</f>
        <v>52.320101042555308</v>
      </c>
      <c r="R29" s="41">
        <f>$F8/R8</f>
        <v>49.35858588920312</v>
      </c>
    </row>
    <row r="30" spans="2:27" x14ac:dyDescent="0.25">
      <c r="B30" t="s">
        <v>22</v>
      </c>
      <c r="F30" s="12">
        <f>F9</f>
        <v>61913.549999999996</v>
      </c>
      <c r="I30" s="12">
        <f>I9</f>
        <v>61877.549999999996</v>
      </c>
      <c r="J30" s="41">
        <f>$I9/J9</f>
        <v>6.3890087764584402</v>
      </c>
      <c r="K30" s="41">
        <f>$I9/K9</f>
        <v>5.86147594170499</v>
      </c>
      <c r="L30" s="41">
        <f>$I9/L9</f>
        <v>5.3775008639495319</v>
      </c>
      <c r="M30" s="41">
        <f>$I9/M9</f>
        <v>35.097872943845715</v>
      </c>
      <c r="N30" s="41">
        <f>$I9/N9</f>
        <v>32.801750414809078</v>
      </c>
      <c r="O30" s="41">
        <f>$I9/O9</f>
        <v>30.655841509167363</v>
      </c>
      <c r="P30" s="41">
        <f>$F9/P9</f>
        <v>48.597762951334374</v>
      </c>
      <c r="Q30" s="41">
        <f>$F9/Q9</f>
        <v>46.283583763175592</v>
      </c>
      <c r="R30" s="41">
        <f>$F9/R9</f>
        <v>44.079603583976755</v>
      </c>
    </row>
    <row r="31" spans="2:27" x14ac:dyDescent="0.25">
      <c r="B31" t="s">
        <v>23</v>
      </c>
      <c r="F31" s="12">
        <f>F10</f>
        <v>16140.6</v>
      </c>
      <c r="I31" s="12">
        <f>I10</f>
        <v>16099.1</v>
      </c>
      <c r="J31" s="41">
        <f>$I10/J10</f>
        <v>4.8200898203592812</v>
      </c>
      <c r="K31" s="41">
        <f>$I10/K10</f>
        <v>4.5905617336755062</v>
      </c>
      <c r="L31" s="41">
        <f>$I10/L10</f>
        <v>4.3719635558814343</v>
      </c>
      <c r="M31" s="41">
        <f>$I10/M10</f>
        <v>19.777764127764129</v>
      </c>
      <c r="N31" s="41">
        <f>$I10/N10</f>
        <v>18.312744562744562</v>
      </c>
      <c r="O31" s="41">
        <f>$I10/O10</f>
        <v>16.956244965504226</v>
      </c>
      <c r="P31" s="41">
        <f>$F10/P10</f>
        <v>19.215</v>
      </c>
      <c r="Q31" s="41">
        <f>$F10/Q10</f>
        <v>17.468181818181815</v>
      </c>
      <c r="R31" s="41">
        <f>$F10/R10</f>
        <v>15.880165289256196</v>
      </c>
    </row>
    <row r="32" spans="2:27" x14ac:dyDescent="0.25">
      <c r="B32" t="s">
        <v>25</v>
      </c>
      <c r="F32" s="12">
        <f>F11</f>
        <v>6828.0350000000008</v>
      </c>
      <c r="I32" s="12">
        <f>I11</f>
        <v>6825.0350000000008</v>
      </c>
      <c r="J32" s="41">
        <f>$I11/J11</f>
        <v>2.8249317052980136</v>
      </c>
      <c r="K32" s="41">
        <f>$I11/K11</f>
        <v>2.5681197320891029</v>
      </c>
      <c r="L32" s="41">
        <f>$I11/L11</f>
        <v>2.3346543018991843</v>
      </c>
      <c r="M32" s="41">
        <f>$I11/M11</f>
        <v>24.20225177304965</v>
      </c>
      <c r="N32" s="41">
        <f>$I11/N11</f>
        <v>21.417921923052788</v>
      </c>
      <c r="O32" s="41">
        <f>$I11/O11</f>
        <v>18.953913206241406</v>
      </c>
      <c r="P32" s="41">
        <f>$F11/P11</f>
        <v>31.465599078341018</v>
      </c>
      <c r="Q32" s="41">
        <f>$F11/Q11</f>
        <v>26.221332565284182</v>
      </c>
      <c r="R32" s="41">
        <f>$F11/R11</f>
        <v>21.851110471070154</v>
      </c>
    </row>
    <row r="33" spans="2:18" x14ac:dyDescent="0.25">
      <c r="B33" t="s">
        <v>24</v>
      </c>
      <c r="F33" s="12">
        <f>F12</f>
        <v>2248.2250000000004</v>
      </c>
      <c r="I33" s="12">
        <f>I12</f>
        <v>2248.6250000000005</v>
      </c>
      <c r="J33" s="41">
        <f>$I12/J12</f>
        <v>2.417876344086022</v>
      </c>
      <c r="K33" s="41">
        <f>$I12/K12</f>
        <v>2.3474527612485652</v>
      </c>
      <c r="L33" s="41">
        <f>$I12/L12</f>
        <v>2.2790803507267618</v>
      </c>
      <c r="M33" s="41">
        <f>$I12/M12</f>
        <v>16.780783582089555</v>
      </c>
      <c r="N33" s="41">
        <f>$I12/N12</f>
        <v>16.61463720998966</v>
      </c>
      <c r="O33" s="41">
        <f>$I12/O12</f>
        <v>16.450135851474911</v>
      </c>
      <c r="P33" s="41">
        <f>$F12/P12</f>
        <v>16.653518518518521</v>
      </c>
      <c r="Q33" s="41">
        <f>$F12/Q12</f>
        <v>16.488632196552992</v>
      </c>
      <c r="R33" s="41">
        <f>$F12/R12</f>
        <v>16.325378412428705</v>
      </c>
    </row>
    <row r="34" spans="2:18" x14ac:dyDescent="0.25">
      <c r="J34" s="41"/>
      <c r="K34" s="41"/>
      <c r="L34" s="41"/>
      <c r="M34" s="41"/>
      <c r="N34" s="41"/>
      <c r="O34" s="41"/>
      <c r="P34" s="41"/>
      <c r="Q34" s="41"/>
      <c r="R34" s="41"/>
    </row>
    <row r="35" spans="2:18" ht="15.75" x14ac:dyDescent="0.25">
      <c r="B35" s="16" t="s">
        <v>36</v>
      </c>
      <c r="C35" s="32"/>
      <c r="D35" s="32"/>
      <c r="E35" s="32"/>
      <c r="F35" s="33">
        <f>MAX(F28:F33)</f>
        <v>97904.7</v>
      </c>
      <c r="G35" s="33"/>
      <c r="H35" s="33"/>
      <c r="I35" s="33">
        <f>MAX(I28:I33)</f>
        <v>98595.7</v>
      </c>
      <c r="J35" s="42">
        <f>MAX(J28:J33)</f>
        <v>8.3510290237467011</v>
      </c>
      <c r="K35" s="42">
        <f>MAX(K28:K33)</f>
        <v>7.8047000221931784</v>
      </c>
      <c r="L35" s="42">
        <f>MAX(L28:L33)</f>
        <v>7.2941121702739977</v>
      </c>
      <c r="M35" s="42">
        <f>MAX(M28:M33)</f>
        <v>43.761961828672881</v>
      </c>
      <c r="N35" s="42">
        <f>MAX(N28:N33)</f>
        <v>42.487341581235803</v>
      </c>
      <c r="O35" s="42">
        <f>MAX(O28:O33)</f>
        <v>41.249846195374559</v>
      </c>
      <c r="P35" s="42">
        <f>MAX(P28:P33)</f>
        <v>60.659665427509289</v>
      </c>
      <c r="Q35" s="42">
        <f>MAX(Q28:Q33)</f>
        <v>57.771109930961231</v>
      </c>
      <c r="R35" s="43">
        <f>MAX(R28:R33)</f>
        <v>55.020104696153545</v>
      </c>
    </row>
    <row r="36" spans="2:18" ht="15.75" x14ac:dyDescent="0.25">
      <c r="B36" s="17" t="s">
        <v>37</v>
      </c>
      <c r="C36" s="34"/>
      <c r="D36" s="34"/>
      <c r="E36" s="34"/>
      <c r="F36" s="26">
        <f>_xlfn.QUARTILE.INC(F28:F33,3)</f>
        <v>86313.787500000006</v>
      </c>
      <c r="G36" s="26"/>
      <c r="H36" s="26"/>
      <c r="I36" s="26">
        <f>_xlfn.QUARTILE.INC(I28:I33,3)</f>
        <v>86682.787500000006</v>
      </c>
      <c r="J36" s="44">
        <f>_xlfn.QUARTILE.INC(J28:J33,3)</f>
        <v>7.2714982806707793</v>
      </c>
      <c r="K36" s="44">
        <f>_xlfn.QUARTILE.INC(K28:K33,3)</f>
        <v>6.8184313312339544</v>
      </c>
      <c r="L36" s="44">
        <f>_xlfn.QUARTILE.INC(L28:L33,3)</f>
        <v>6.3944340327871059</v>
      </c>
      <c r="M36" s="44">
        <f>_xlfn.QUARTILE.INC(M28:M33,3)</f>
        <v>41.07079476657367</v>
      </c>
      <c r="N36" s="44">
        <f>_xlfn.QUARTILE.INC(N28:N33,3)</f>
        <v>38.668670179751558</v>
      </c>
      <c r="O36" s="44">
        <f>_xlfn.QUARTILE.INC(O28:O33,3)</f>
        <v>36.407576015074184</v>
      </c>
      <c r="P36" s="44">
        <f>_xlfn.QUARTILE.INC(P28:P33,3)</f>
        <v>53.743921066665067</v>
      </c>
      <c r="Q36" s="44">
        <f>_xlfn.QUARTILE.INC(Q28:Q33,3)</f>
        <v>50.810971722710377</v>
      </c>
      <c r="R36" s="45">
        <f>_xlfn.QUARTILE.INC(R28:R33,3)</f>
        <v>48.038840312896525</v>
      </c>
    </row>
    <row r="37" spans="2:18" ht="15.75" x14ac:dyDescent="0.25">
      <c r="B37" s="22" t="s">
        <v>38</v>
      </c>
      <c r="C37" s="36"/>
      <c r="D37" s="36"/>
      <c r="E37" s="36"/>
      <c r="F37" s="37">
        <f>MEDIAN(F28:F33)</f>
        <v>39027.074999999997</v>
      </c>
      <c r="G37" s="37"/>
      <c r="H37" s="37"/>
      <c r="I37" s="37">
        <f>MEDIAN(I28:I33)</f>
        <v>38988.324999999997</v>
      </c>
      <c r="J37" s="46">
        <f>MEDIAN(J28:J33)</f>
        <v>5.6045492984088607</v>
      </c>
      <c r="K37" s="46">
        <f>MEDIAN(K28:K33)</f>
        <v>5.2260188376902477</v>
      </c>
      <c r="L37" s="46">
        <f>MEDIAN(L28:L33)</f>
        <v>4.8747322099154831</v>
      </c>
      <c r="M37" s="46">
        <f>MEDIAN(M28:M33)</f>
        <v>29.650062358447684</v>
      </c>
      <c r="N37" s="46">
        <f>MEDIAN(N28:N33)</f>
        <v>27.109836168930933</v>
      </c>
      <c r="O37" s="46">
        <f>MEDIAN(O28:O33)</f>
        <v>24.804877357704385</v>
      </c>
      <c r="P37" s="46">
        <f>MEDIAN(P28:P33)</f>
        <v>40.031681014837694</v>
      </c>
      <c r="Q37" s="46">
        <f>MEDIAN(Q28:Q33)</f>
        <v>36.252458164229886</v>
      </c>
      <c r="R37" s="47">
        <f>MEDIAN(R28:R33)</f>
        <v>32.965357027523453</v>
      </c>
    </row>
    <row r="38" spans="2:18" ht="15.75" x14ac:dyDescent="0.25">
      <c r="B38" s="17" t="s">
        <v>39</v>
      </c>
      <c r="C38" s="34"/>
      <c r="D38" s="34"/>
      <c r="E38" s="34"/>
      <c r="F38" s="26">
        <f>_xlfn.QUARTILE.INC(F28:F33,1)</f>
        <v>9156.1762500000004</v>
      </c>
      <c r="G38" s="26"/>
      <c r="H38" s="26"/>
      <c r="I38" s="26">
        <f>_xlfn.QUARTILE.INC(I28:I33,1)</f>
        <v>9143.5512500000004</v>
      </c>
      <c r="J38" s="44">
        <f>_xlfn.QUARTILE.INC(J28:J33,1)</f>
        <v>3.3237212340633304</v>
      </c>
      <c r="K38" s="44">
        <f>_xlfn.QUARTILE.INC(K28:K33,1)</f>
        <v>3.0737302324857039</v>
      </c>
      <c r="L38" s="44">
        <f>_xlfn.QUARTILE.INC(L28:L33,1)</f>
        <v>2.843981615394747</v>
      </c>
      <c r="M38" s="44">
        <f>_xlfn.QUARTILE.INC(M28:M33,1)</f>
        <v>20.88388603908551</v>
      </c>
      <c r="N38" s="44">
        <f>_xlfn.QUARTILE.INC(N28:N33,1)</f>
        <v>19.089038902821621</v>
      </c>
      <c r="O38" s="44">
        <f>_xlfn.QUARTILE.INC(O28:O33,1)</f>
        <v>17.455662025688522</v>
      </c>
      <c r="P38" s="44">
        <f>_xlfn.QUARTILE.INC(P28:P33,1)</f>
        <v>22.277649769585253</v>
      </c>
      <c r="Q38" s="44">
        <f>_xlfn.QUARTILE.INC(Q28:Q33,1)</f>
        <v>19.656469504957407</v>
      </c>
      <c r="R38" s="45">
        <f>_xlfn.QUARTILE.INC(R28:R33,1)</f>
        <v>17.706811427089068</v>
      </c>
    </row>
    <row r="39" spans="2:18" ht="15.75" x14ac:dyDescent="0.25">
      <c r="B39" s="18" t="s">
        <v>40</v>
      </c>
      <c r="C39" s="35"/>
      <c r="D39" s="35"/>
      <c r="E39" s="35"/>
      <c r="F39" s="29">
        <f>MIN(F28:F33)</f>
        <v>2248.2250000000004</v>
      </c>
      <c r="G39" s="29"/>
      <c r="H39" s="29"/>
      <c r="I39" s="29">
        <f>MIN(I28:I33)</f>
        <v>2248.6250000000005</v>
      </c>
      <c r="J39" s="48">
        <f>MIN(J28:J33)</f>
        <v>2.417876344086022</v>
      </c>
      <c r="K39" s="48">
        <f>MIN(K28:K33)</f>
        <v>2.3474527612485652</v>
      </c>
      <c r="L39" s="48">
        <f>MIN(L28:L33)</f>
        <v>2.2790803507267618</v>
      </c>
      <c r="M39" s="48">
        <f>MIN(M28:M33)</f>
        <v>16.780783582089555</v>
      </c>
      <c r="N39" s="48">
        <f>MIN(N28:N33)</f>
        <v>16.61463720998966</v>
      </c>
      <c r="O39" s="48">
        <f>MIN(O28:O33)</f>
        <v>16.450135851474911</v>
      </c>
      <c r="P39" s="48">
        <f>MIN(P28:P33)</f>
        <v>16.653518518518521</v>
      </c>
      <c r="Q39" s="48">
        <f>MIN(Q28:Q33)</f>
        <v>16.488632196552992</v>
      </c>
      <c r="R39" s="49">
        <f>MIN(R28:R33)</f>
        <v>15.880165289256196</v>
      </c>
    </row>
    <row r="40" spans="2:18" x14ac:dyDescent="0.25">
      <c r="J40" s="41"/>
      <c r="K40" s="41"/>
      <c r="L40" s="41"/>
      <c r="M40" s="41"/>
      <c r="N40" s="41"/>
      <c r="O40" s="41"/>
      <c r="P40" s="41"/>
      <c r="Q40" s="41"/>
      <c r="R40" s="41"/>
    </row>
    <row r="41" spans="2:18" x14ac:dyDescent="0.25">
      <c r="B41" s="40" t="s">
        <v>28</v>
      </c>
      <c r="C41" s="36"/>
      <c r="D41" s="36"/>
      <c r="E41" s="36"/>
      <c r="F41" s="37">
        <f>F22</f>
        <v>582635.5</v>
      </c>
      <c r="G41" s="37">
        <f t="shared" ref="G41:I41" si="25">G22</f>
        <v>3951</v>
      </c>
      <c r="H41" s="37">
        <f t="shared" si="25"/>
        <v>1139</v>
      </c>
      <c r="I41" s="37">
        <f t="shared" si="25"/>
        <v>579823.5</v>
      </c>
      <c r="J41" s="46">
        <f>$I22/J22</f>
        <v>9.8055790434959071</v>
      </c>
      <c r="K41" s="46">
        <f t="shared" ref="K41:L41" si="26">$I22/K22</f>
        <v>8.9141627668144601</v>
      </c>
      <c r="L41" s="46">
        <f t="shared" si="26"/>
        <v>8.10378433346769</v>
      </c>
      <c r="M41" s="46">
        <f>$I22/M22</f>
        <v>41.786069472470452</v>
      </c>
      <c r="N41" s="46">
        <f t="shared" ref="N41:O41" si="27">$I22/N22</f>
        <v>38.690805067102268</v>
      </c>
      <c r="O41" s="46">
        <f t="shared" si="27"/>
        <v>35.824819506576169</v>
      </c>
      <c r="P41" s="46">
        <f>$F22/P22</f>
        <v>59.156817951061022</v>
      </c>
      <c r="Q41" s="46">
        <f t="shared" ref="Q41:R41" si="28">$F22/Q22</f>
        <v>53.778925410055464</v>
      </c>
      <c r="R41" s="47">
        <f t="shared" si="28"/>
        <v>48.889932190959513</v>
      </c>
    </row>
  </sheetData>
  <pageMargins left="0.7" right="0.7" top="0.75" bottom="0.75" header="0.3" footer="0.3"/>
  <pageSetup orientation="portrait" horizontalDpi="1200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2023-03-28T08:44:57Z</dcterms:created>
  <dcterms:modified xsi:type="dcterms:W3CDTF">2023-04-11T08:43:06Z</dcterms:modified>
</cp:coreProperties>
</file>