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Pawan\Zerodha\Dodla Dairy\"/>
    </mc:Choice>
  </mc:AlternateContent>
  <bookViews>
    <workbookView xWindow="0" yWindow="0" windowWidth="20400" windowHeight="7755" tabRatio="671"/>
  </bookViews>
  <sheets>
    <sheet name="Sheet1" sheetId="16" r:id="rId1"/>
    <sheet name="Valuation" sheetId="15" r:id="rId2"/>
    <sheet name="About company" sheetId="10" r:id="rId3"/>
    <sheet name="Assumptions" sheetId="3" r:id="rId4"/>
    <sheet name="Income Statement" sheetId="2" r:id="rId5"/>
    <sheet name="Balance sheet" sheetId="1" r:id="rId6"/>
    <sheet name="Cashflow statement" sheetId="5" r:id="rId7"/>
    <sheet name="Asset Schedule" sheetId="12" r:id="rId8"/>
    <sheet name="Ratio analysis" sheetId="4" r:id="rId9"/>
    <sheet name="P&amp;L Vertical analysis " sheetId="7" r:id="rId10"/>
    <sheet name="BS Vertical analysis" sheetId="8" r:id="rId11"/>
    <sheet name="Revenue Model" sheetId="6" r:id="rId12"/>
  </sheets>
  <externalReferences>
    <externalReference r:id="rId13"/>
    <externalReference r:id="rId14"/>
  </externalReferences>
  <definedNames>
    <definedName name="UPDATE">'[1]Data Sheet'!$E$1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6" i="16" l="1"/>
  <c r="F5" i="16"/>
  <c r="D11" i="16"/>
  <c r="E11" i="16"/>
  <c r="F18" i="16"/>
  <c r="B28" i="15" l="1"/>
  <c r="E23" i="15"/>
  <c r="E21" i="15"/>
  <c r="G2" i="15" l="1"/>
  <c r="H2" i="15"/>
  <c r="I2" i="15"/>
  <c r="J13" i="15"/>
  <c r="K13" i="15"/>
  <c r="F2" i="15"/>
  <c r="F14" i="15" l="1"/>
  <c r="G14" i="15"/>
  <c r="H14" i="15"/>
  <c r="I14" i="15"/>
  <c r="J14" i="15"/>
  <c r="K14" i="15"/>
  <c r="E4" i="15"/>
  <c r="E6" i="15" s="1"/>
  <c r="E11" i="15" s="1"/>
  <c r="L14" i="15" l="1"/>
  <c r="K15" i="15"/>
  <c r="J15" i="15"/>
  <c r="F21" i="7"/>
  <c r="G21" i="7"/>
  <c r="H21" i="7"/>
  <c r="I21" i="7"/>
  <c r="J21" i="7"/>
  <c r="K21" i="7"/>
  <c r="F22" i="7"/>
  <c r="G22" i="7"/>
  <c r="H22" i="7"/>
  <c r="I22" i="7"/>
  <c r="J22" i="7"/>
  <c r="K22" i="7"/>
  <c r="J16" i="15" l="1"/>
  <c r="L15" i="15"/>
  <c r="K16" i="15"/>
  <c r="J23" i="5"/>
  <c r="J24" i="5"/>
  <c r="J26" i="5"/>
  <c r="K28" i="1"/>
  <c r="J28" i="1"/>
  <c r="K7" i="1"/>
  <c r="J7" i="1"/>
  <c r="L16" i="15" l="1"/>
  <c r="E19" i="15" s="1"/>
  <c r="E22" i="15" s="1"/>
  <c r="E26" i="15" s="1"/>
  <c r="J39" i="1"/>
  <c r="K39" i="1" s="1"/>
  <c r="K25" i="1"/>
  <c r="J25" i="1"/>
  <c r="J27" i="5"/>
  <c r="J25" i="5"/>
  <c r="J22" i="5"/>
  <c r="J21" i="5"/>
  <c r="J11" i="5"/>
  <c r="K33" i="5" l="1"/>
  <c r="J33" i="5"/>
  <c r="K49" i="1"/>
  <c r="J49" i="1"/>
  <c r="K56" i="5"/>
  <c r="J56" i="5"/>
  <c r="K37" i="5"/>
  <c r="J39" i="5"/>
  <c r="K46" i="1"/>
  <c r="J46" i="1"/>
  <c r="K23" i="5"/>
  <c r="K59" i="1"/>
  <c r="J59" i="1"/>
  <c r="K55" i="1"/>
  <c r="J55" i="1"/>
  <c r="J48" i="1"/>
  <c r="K48" i="1"/>
  <c r="K18" i="1"/>
  <c r="J18" i="1"/>
  <c r="J48" i="5"/>
  <c r="J57" i="5" s="1"/>
  <c r="K26" i="5"/>
  <c r="K29" i="5"/>
  <c r="J29" i="5"/>
  <c r="K27" i="5"/>
  <c r="K25" i="5"/>
  <c r="K24" i="5"/>
  <c r="J60" i="5"/>
  <c r="J43" i="5" l="1"/>
  <c r="K43" i="5"/>
  <c r="J19" i="5" l="1"/>
  <c r="K6" i="5"/>
  <c r="J6" i="5"/>
  <c r="G45" i="3" l="1"/>
  <c r="H45" i="3"/>
  <c r="I45" i="3"/>
  <c r="G46" i="3"/>
  <c r="H46" i="3"/>
  <c r="I46" i="3"/>
  <c r="G47" i="3"/>
  <c r="H47" i="3"/>
  <c r="I47" i="3"/>
  <c r="F47" i="3"/>
  <c r="F46" i="3"/>
  <c r="F45" i="3"/>
  <c r="J45" i="3" s="1"/>
  <c r="G42" i="3"/>
  <c r="H42" i="3"/>
  <c r="I42" i="3"/>
  <c r="F42" i="3"/>
  <c r="J42" i="3" s="1"/>
  <c r="B47" i="3"/>
  <c r="B46" i="3"/>
  <c r="B45" i="3"/>
  <c r="B42" i="3"/>
  <c r="B40" i="3"/>
  <c r="B39" i="3"/>
  <c r="B33" i="3"/>
  <c r="B32" i="3"/>
  <c r="B29" i="3"/>
  <c r="B25" i="3"/>
  <c r="B24" i="3"/>
  <c r="B23" i="3"/>
  <c r="B22" i="3"/>
  <c r="B21" i="3"/>
  <c r="B20" i="3"/>
  <c r="B38" i="3"/>
  <c r="B43" i="3"/>
  <c r="J61" i="1"/>
  <c r="K61" i="1" s="1"/>
  <c r="G40" i="3"/>
  <c r="H40" i="3"/>
  <c r="I40" i="3"/>
  <c r="F40" i="3"/>
  <c r="G39" i="3"/>
  <c r="H39" i="3"/>
  <c r="I39" i="3"/>
  <c r="F39" i="3"/>
  <c r="G38" i="3"/>
  <c r="H38" i="3"/>
  <c r="I38" i="3"/>
  <c r="F38" i="3"/>
  <c r="K48" i="5"/>
  <c r="K57" i="5" s="1"/>
  <c r="G32" i="3"/>
  <c r="H32" i="3"/>
  <c r="I32" i="3"/>
  <c r="G33" i="3"/>
  <c r="H33" i="3"/>
  <c r="I33" i="3"/>
  <c r="G34" i="3"/>
  <c r="H34" i="3"/>
  <c r="I34" i="3"/>
  <c r="F34" i="3"/>
  <c r="F33" i="3"/>
  <c r="J33" i="3" s="1"/>
  <c r="F32" i="3"/>
  <c r="G29" i="3"/>
  <c r="H29" i="3"/>
  <c r="I29" i="3"/>
  <c r="F29" i="3"/>
  <c r="G30" i="3"/>
  <c r="G31" i="3" s="1"/>
  <c r="H30" i="3"/>
  <c r="H31" i="3" s="1"/>
  <c r="I30" i="3"/>
  <c r="I31" i="3" s="1"/>
  <c r="F30" i="3"/>
  <c r="F31" i="3" s="1"/>
  <c r="B30" i="3"/>
  <c r="G24" i="3"/>
  <c r="H24" i="3"/>
  <c r="I24" i="3"/>
  <c r="G25" i="3"/>
  <c r="H25" i="3"/>
  <c r="I25" i="3"/>
  <c r="F25" i="3"/>
  <c r="F24" i="3"/>
  <c r="J17" i="1"/>
  <c r="K17" i="1" s="1"/>
  <c r="K46" i="3" l="1"/>
  <c r="J38" i="3"/>
  <c r="K38" i="3" s="1"/>
  <c r="J46" i="3"/>
  <c r="J40" i="3"/>
  <c r="K47" i="3"/>
  <c r="J47" i="3"/>
  <c r="K45" i="3"/>
  <c r="K42" i="3"/>
  <c r="J34" i="3"/>
  <c r="J39" i="3"/>
  <c r="J24" i="3"/>
  <c r="J32" i="3"/>
  <c r="K34" i="3"/>
  <c r="K33" i="3"/>
  <c r="J29" i="3"/>
  <c r="J31" i="3"/>
  <c r="J30" i="3" s="1"/>
  <c r="J25" i="3"/>
  <c r="K32" i="3" l="1"/>
  <c r="K40" i="3"/>
  <c r="K24" i="3"/>
  <c r="K39" i="3"/>
  <c r="K25" i="3"/>
  <c r="K29" i="3"/>
  <c r="K31" i="3"/>
  <c r="K30" i="3" s="1"/>
  <c r="G23" i="3" l="1"/>
  <c r="H23" i="3"/>
  <c r="I23" i="3"/>
  <c r="F23" i="3"/>
  <c r="K14" i="1"/>
  <c r="J14" i="1"/>
  <c r="G20" i="3"/>
  <c r="H20" i="3"/>
  <c r="I20" i="3"/>
  <c r="G21" i="3"/>
  <c r="H21" i="3"/>
  <c r="I21" i="3"/>
  <c r="G22" i="3"/>
  <c r="H22" i="3"/>
  <c r="I22" i="3"/>
  <c r="F22" i="3"/>
  <c r="F21" i="3"/>
  <c r="F20" i="3"/>
  <c r="K19" i="5"/>
  <c r="J21" i="3" l="1"/>
  <c r="K21" i="3" s="1"/>
  <c r="J20" i="3"/>
  <c r="J22" i="3"/>
  <c r="K20" i="3" l="1"/>
  <c r="K22" i="3"/>
  <c r="G15" i="3" l="1"/>
  <c r="H15" i="3"/>
  <c r="I15" i="3"/>
  <c r="F15" i="3"/>
  <c r="J15" i="3" s="1"/>
  <c r="B15" i="3"/>
  <c r="G14" i="3"/>
  <c r="H14" i="3"/>
  <c r="I14" i="3"/>
  <c r="F14" i="3"/>
  <c r="B14" i="3"/>
  <c r="F12" i="3"/>
  <c r="I12" i="3"/>
  <c r="J38" i="1"/>
  <c r="K38" i="1" s="1"/>
  <c r="G12" i="3"/>
  <c r="H12" i="3"/>
  <c r="J14" i="3" l="1"/>
  <c r="K14" i="3" s="1"/>
  <c r="K15" i="3"/>
  <c r="K14" i="2"/>
  <c r="J14" i="2"/>
  <c r="K6" i="1"/>
  <c r="J6" i="1"/>
  <c r="F17" i="12"/>
  <c r="G17" i="12"/>
  <c r="H17" i="12"/>
  <c r="I17" i="12"/>
  <c r="E17" i="12"/>
  <c r="G18" i="12"/>
  <c r="H18" i="12"/>
  <c r="I18" i="12"/>
  <c r="F18" i="12"/>
  <c r="J17" i="12"/>
  <c r="J11" i="12" s="1"/>
  <c r="J13" i="12" s="1"/>
  <c r="J15" i="12" s="1"/>
  <c r="J18" i="12" s="1"/>
  <c r="J10" i="12"/>
  <c r="K7" i="12"/>
  <c r="J7" i="12"/>
  <c r="K4" i="12" s="1"/>
  <c r="J4" i="12"/>
  <c r="F15" i="12"/>
  <c r="G15" i="12"/>
  <c r="H15" i="12"/>
  <c r="I15" i="12"/>
  <c r="E15" i="12"/>
  <c r="G12" i="12"/>
  <c r="H12" i="12"/>
  <c r="I12" i="12"/>
  <c r="F12" i="12"/>
  <c r="E12" i="12"/>
  <c r="E5" i="12"/>
  <c r="G5" i="12"/>
  <c r="H5" i="12"/>
  <c r="I5" i="12"/>
  <c r="F5" i="12"/>
  <c r="J30" i="1" l="1"/>
  <c r="J57" i="1"/>
  <c r="J29" i="1"/>
  <c r="J19" i="1"/>
  <c r="J31" i="1"/>
  <c r="J47" i="1"/>
  <c r="J60" i="1"/>
  <c r="J58" i="1"/>
  <c r="J16" i="1"/>
  <c r="J11" i="1"/>
  <c r="J9" i="1"/>
  <c r="J12" i="1"/>
  <c r="K58" i="1"/>
  <c r="K60" i="1"/>
  <c r="K30" i="1"/>
  <c r="K57" i="1"/>
  <c r="K31" i="1"/>
  <c r="K29" i="1"/>
  <c r="K47" i="1"/>
  <c r="K19" i="1"/>
  <c r="K16" i="1"/>
  <c r="K11" i="1"/>
  <c r="K12" i="1"/>
  <c r="K9" i="1"/>
  <c r="K17" i="12"/>
  <c r="K11" i="12" s="1"/>
  <c r="K10" i="12"/>
  <c r="K13" i="12" l="1"/>
  <c r="K15" i="12" s="1"/>
  <c r="K18" i="12" s="1"/>
  <c r="G36" i="4" l="1"/>
  <c r="H36" i="4"/>
  <c r="H37" i="4" s="1"/>
  <c r="I36" i="4"/>
  <c r="I37" i="4" s="1"/>
  <c r="F36" i="4"/>
  <c r="F37" i="4" s="1"/>
  <c r="G33" i="4"/>
  <c r="F33" i="4"/>
  <c r="E33" i="4"/>
  <c r="H33" i="4"/>
  <c r="I33" i="4"/>
  <c r="G37" i="4"/>
  <c r="F29" i="4"/>
  <c r="G29" i="4"/>
  <c r="H29" i="4"/>
  <c r="I29" i="4"/>
  <c r="E29" i="4"/>
  <c r="F30" i="4" s="1"/>
  <c r="F27" i="3" l="1"/>
  <c r="F28" i="3" s="1"/>
  <c r="F43" i="3"/>
  <c r="F44" i="3" s="1"/>
  <c r="H27" i="3"/>
  <c r="H28" i="3" s="1"/>
  <c r="H43" i="3"/>
  <c r="H44" i="3" s="1"/>
  <c r="I27" i="3"/>
  <c r="I28" i="3" s="1"/>
  <c r="I43" i="3"/>
  <c r="I44" i="3" s="1"/>
  <c r="G27" i="3"/>
  <c r="G28" i="3" s="1"/>
  <c r="J28" i="3" s="1"/>
  <c r="J27" i="3" s="1"/>
  <c r="G43" i="3"/>
  <c r="G44" i="3" s="1"/>
  <c r="F34" i="4"/>
  <c r="F35" i="4" s="1"/>
  <c r="I34" i="4"/>
  <c r="I35" i="4" s="1"/>
  <c r="H34" i="4"/>
  <c r="H35" i="4" s="1"/>
  <c r="G34" i="4"/>
  <c r="G35" i="4" s="1"/>
  <c r="G30" i="4"/>
  <c r="H30" i="4"/>
  <c r="I30" i="4"/>
  <c r="G62" i="5"/>
  <c r="F62" i="5"/>
  <c r="E62" i="5"/>
  <c r="G59" i="5"/>
  <c r="F59" i="5"/>
  <c r="E59" i="5"/>
  <c r="G57" i="5"/>
  <c r="E57" i="5"/>
  <c r="I57" i="5"/>
  <c r="H57" i="5"/>
  <c r="F57" i="5"/>
  <c r="G43" i="5"/>
  <c r="F43" i="5"/>
  <c r="E43" i="5"/>
  <c r="F19" i="5"/>
  <c r="F28" i="5" s="1"/>
  <c r="F30" i="5" s="1"/>
  <c r="E19" i="5"/>
  <c r="E28" i="5" s="1"/>
  <c r="E30" i="5" s="1"/>
  <c r="G19" i="5"/>
  <c r="G28" i="5" s="1"/>
  <c r="G30" i="5" s="1"/>
  <c r="H43" i="5"/>
  <c r="I43" i="5"/>
  <c r="J44" i="3" l="1"/>
  <c r="J43" i="3" s="1"/>
  <c r="K28" i="3"/>
  <c r="K27" i="3" s="1"/>
  <c r="I19" i="5"/>
  <c r="I28" i="5" s="1"/>
  <c r="I30" i="5" s="1"/>
  <c r="I59" i="5" s="1"/>
  <c r="I62" i="5" s="1"/>
  <c r="H19" i="5"/>
  <c r="H28" i="5" s="1"/>
  <c r="H30" i="5" s="1"/>
  <c r="H59" i="5" s="1"/>
  <c r="H62" i="5" s="1"/>
  <c r="K44" i="3" l="1"/>
  <c r="K43" i="3" s="1"/>
  <c r="J8" i="1"/>
  <c r="K8" i="1" s="1"/>
  <c r="G13" i="3"/>
  <c r="H13" i="3"/>
  <c r="I13" i="3"/>
  <c r="F13" i="3"/>
  <c r="G11" i="3"/>
  <c r="H11" i="3"/>
  <c r="I11" i="3"/>
  <c r="F11" i="3"/>
  <c r="G10" i="3"/>
  <c r="H10" i="3"/>
  <c r="I10" i="3"/>
  <c r="F10" i="3"/>
  <c r="G9" i="3"/>
  <c r="H9" i="3"/>
  <c r="I9" i="3"/>
  <c r="F9" i="3"/>
  <c r="G7" i="3"/>
  <c r="H7" i="3"/>
  <c r="I7" i="3"/>
  <c r="F7" i="3"/>
  <c r="B12" i="3"/>
  <c r="B13" i="3"/>
  <c r="B11" i="3"/>
  <c r="B10" i="3"/>
  <c r="B7" i="3"/>
  <c r="B9" i="3"/>
  <c r="J7" i="3" l="1"/>
  <c r="K7" i="3" s="1"/>
  <c r="J11" i="3"/>
  <c r="K11" i="3" s="1"/>
  <c r="J13" i="3"/>
  <c r="K13" i="3" s="1"/>
  <c r="J10" i="3"/>
  <c r="K10" i="3" s="1"/>
  <c r="J9" i="3"/>
  <c r="K9" i="3" s="1"/>
  <c r="J5" i="2"/>
  <c r="J26" i="1" s="1"/>
  <c r="G6" i="3"/>
  <c r="H6" i="3"/>
  <c r="I6" i="3"/>
  <c r="F6" i="3"/>
  <c r="J13" i="2" l="1"/>
  <c r="K5" i="2"/>
  <c r="K26" i="1" s="1"/>
  <c r="K21" i="5" s="1"/>
  <c r="J10" i="2"/>
  <c r="J12" i="2"/>
  <c r="J6" i="2"/>
  <c r="J11" i="2"/>
  <c r="J15" i="2"/>
  <c r="K23" i="7"/>
  <c r="J23" i="7"/>
  <c r="J23" i="1" l="1"/>
  <c r="J56" i="1"/>
  <c r="J62" i="1" s="1"/>
  <c r="K13" i="2"/>
  <c r="K11" i="5" s="1"/>
  <c r="K6" i="2"/>
  <c r="K12" i="2"/>
  <c r="K15" i="2"/>
  <c r="K11" i="2"/>
  <c r="K10" i="2"/>
  <c r="K56" i="1" s="1"/>
  <c r="F62" i="1"/>
  <c r="I62" i="1"/>
  <c r="G62" i="1"/>
  <c r="E62" i="1"/>
  <c r="K50" i="1"/>
  <c r="J50" i="1"/>
  <c r="I50" i="1"/>
  <c r="G50" i="1"/>
  <c r="F50" i="1"/>
  <c r="E50" i="1"/>
  <c r="H62" i="1"/>
  <c r="H50" i="1"/>
  <c r="I40" i="1"/>
  <c r="G40" i="1"/>
  <c r="F40" i="1"/>
  <c r="E40" i="1"/>
  <c r="H40" i="1"/>
  <c r="H32" i="1"/>
  <c r="G32" i="1"/>
  <c r="F32" i="1"/>
  <c r="E32" i="1"/>
  <c r="K20" i="1"/>
  <c r="H20" i="1"/>
  <c r="G20" i="1"/>
  <c r="F20" i="1"/>
  <c r="E20" i="1"/>
  <c r="H23" i="2"/>
  <c r="G23" i="2"/>
  <c r="F23" i="2"/>
  <c r="E23" i="2"/>
  <c r="J16" i="2"/>
  <c r="J5" i="4" s="1"/>
  <c r="J6" i="4" s="1"/>
  <c r="H16" i="2"/>
  <c r="G16" i="2"/>
  <c r="F16" i="2"/>
  <c r="E16" i="2"/>
  <c r="J7" i="2"/>
  <c r="H7" i="2"/>
  <c r="G7" i="2"/>
  <c r="F7" i="2"/>
  <c r="E7" i="2"/>
  <c r="I23" i="2"/>
  <c r="I16" i="2"/>
  <c r="I7" i="2"/>
  <c r="I32" i="1"/>
  <c r="I20" i="1"/>
  <c r="J28" i="5" l="1"/>
  <c r="J30" i="5" s="1"/>
  <c r="J59" i="5" s="1"/>
  <c r="J62" i="5" s="1"/>
  <c r="J27" i="1" s="1"/>
  <c r="K62" i="1"/>
  <c r="K23" i="1"/>
  <c r="J14" i="7"/>
  <c r="J5" i="7"/>
  <c r="J6" i="7"/>
  <c r="J13" i="7"/>
  <c r="K7" i="2"/>
  <c r="K10" i="7" s="1"/>
  <c r="J10" i="7"/>
  <c r="J11" i="7"/>
  <c r="J12" i="7"/>
  <c r="J15" i="7"/>
  <c r="J64" i="1"/>
  <c r="E25" i="4"/>
  <c r="F25" i="4"/>
  <c r="F21" i="4"/>
  <c r="F31" i="4"/>
  <c r="F32" i="4" s="1"/>
  <c r="G25" i="4"/>
  <c r="G21" i="4"/>
  <c r="H31" i="4"/>
  <c r="H32" i="4" s="1"/>
  <c r="I31" i="4"/>
  <c r="I32" i="4" s="1"/>
  <c r="G31" i="4"/>
  <c r="G32" i="4" s="1"/>
  <c r="H25" i="4"/>
  <c r="H21" i="4"/>
  <c r="I25" i="4"/>
  <c r="I21" i="4"/>
  <c r="I50" i="8"/>
  <c r="I23" i="7"/>
  <c r="H23" i="7"/>
  <c r="E5" i="4"/>
  <c r="E16" i="7"/>
  <c r="I5" i="4"/>
  <c r="I24" i="4" s="1"/>
  <c r="I16" i="7"/>
  <c r="G14" i="7"/>
  <c r="G10" i="7"/>
  <c r="G12" i="7"/>
  <c r="G7" i="7"/>
  <c r="G13" i="7"/>
  <c r="G6" i="7"/>
  <c r="G11" i="7"/>
  <c r="G5" i="7"/>
  <c r="G15" i="7"/>
  <c r="H13" i="7"/>
  <c r="H6" i="7"/>
  <c r="H11" i="7"/>
  <c r="H14" i="7"/>
  <c r="H10" i="7"/>
  <c r="H12" i="7"/>
  <c r="H5" i="7"/>
  <c r="H7" i="7"/>
  <c r="H15" i="7"/>
  <c r="F5" i="4"/>
  <c r="F16" i="7"/>
  <c r="E23" i="7"/>
  <c r="K16" i="2"/>
  <c r="K5" i="4" s="1"/>
  <c r="K6" i="4" s="1"/>
  <c r="G18" i="2"/>
  <c r="G18" i="7" s="1"/>
  <c r="G5" i="4"/>
  <c r="G16" i="7"/>
  <c r="F23" i="7"/>
  <c r="E12" i="7"/>
  <c r="E5" i="7"/>
  <c r="E21" i="7"/>
  <c r="E14" i="7"/>
  <c r="E10" i="7"/>
  <c r="E22" i="7"/>
  <c r="E15" i="7"/>
  <c r="E11" i="7"/>
  <c r="E7" i="7"/>
  <c r="E13" i="7"/>
  <c r="E6" i="7"/>
  <c r="I18" i="2"/>
  <c r="I12" i="7"/>
  <c r="I5" i="7"/>
  <c r="I7" i="7"/>
  <c r="I14" i="7"/>
  <c r="I15" i="7"/>
  <c r="I11" i="7"/>
  <c r="I13" i="7"/>
  <c r="I6" i="7"/>
  <c r="I10" i="7"/>
  <c r="F18" i="2"/>
  <c r="F15" i="7"/>
  <c r="F11" i="7"/>
  <c r="F6" i="7"/>
  <c r="F12" i="7"/>
  <c r="F5" i="7"/>
  <c r="F14" i="7"/>
  <c r="F10" i="7"/>
  <c r="F7" i="7"/>
  <c r="F13" i="7"/>
  <c r="H5" i="4"/>
  <c r="H16" i="7"/>
  <c r="G23" i="7"/>
  <c r="J18" i="2"/>
  <c r="J4" i="5" s="1"/>
  <c r="H34" i="1"/>
  <c r="H15" i="4" s="1"/>
  <c r="I64" i="1"/>
  <c r="I34" i="1"/>
  <c r="I40" i="8" s="1"/>
  <c r="E34" i="1"/>
  <c r="E50" i="8" s="1"/>
  <c r="H64" i="1"/>
  <c r="F34" i="1"/>
  <c r="F32" i="8" s="1"/>
  <c r="G34" i="1"/>
  <c r="G40" i="8" s="1"/>
  <c r="F64" i="1"/>
  <c r="G64" i="1"/>
  <c r="E64" i="1"/>
  <c r="H18" i="2"/>
  <c r="E18" i="2"/>
  <c r="K60" i="5" l="1"/>
  <c r="I20" i="8"/>
  <c r="K22" i="5"/>
  <c r="K28" i="5" s="1"/>
  <c r="K30" i="5" s="1"/>
  <c r="K59" i="5" s="1"/>
  <c r="K64" i="1"/>
  <c r="G20" i="8"/>
  <c r="G32" i="8"/>
  <c r="G50" i="8"/>
  <c r="I15" i="4"/>
  <c r="K6" i="7"/>
  <c r="K15" i="7"/>
  <c r="J22" i="2"/>
  <c r="J21" i="2"/>
  <c r="K12" i="7"/>
  <c r="J7" i="7"/>
  <c r="J16" i="7"/>
  <c r="K11" i="7"/>
  <c r="K13" i="7"/>
  <c r="K14" i="7"/>
  <c r="K5" i="7"/>
  <c r="K7" i="7" s="1"/>
  <c r="F40" i="8"/>
  <c r="F66" i="1"/>
  <c r="F66" i="8" s="1"/>
  <c r="F64" i="8"/>
  <c r="H66" i="1"/>
  <c r="H64" i="8"/>
  <c r="H26" i="4"/>
  <c r="I16" i="4"/>
  <c r="H61" i="8"/>
  <c r="H57" i="8"/>
  <c r="H49" i="8"/>
  <c r="H45" i="8"/>
  <c r="H30" i="8"/>
  <c r="H26" i="8"/>
  <c r="H18" i="8"/>
  <c r="H14" i="8"/>
  <c r="H8" i="8"/>
  <c r="H58" i="8"/>
  <c r="H54" i="8"/>
  <c r="H27" i="8"/>
  <c r="H19" i="8"/>
  <c r="H34" i="8"/>
  <c r="H60" i="8"/>
  <c r="H56" i="8"/>
  <c r="H48" i="8"/>
  <c r="H39" i="8"/>
  <c r="H29" i="8"/>
  <c r="H25" i="8"/>
  <c r="H17" i="8"/>
  <c r="H12" i="8"/>
  <c r="H7" i="8"/>
  <c r="H31" i="8"/>
  <c r="H15" i="8"/>
  <c r="H6" i="8"/>
  <c r="H59" i="8"/>
  <c r="H55" i="8"/>
  <c r="H47" i="8"/>
  <c r="H38" i="8"/>
  <c r="H28" i="8"/>
  <c r="H23" i="8"/>
  <c r="H16" i="8"/>
  <c r="H11" i="8"/>
  <c r="H46" i="8"/>
  <c r="H9" i="8"/>
  <c r="H62" i="8"/>
  <c r="H40" i="8"/>
  <c r="H32" i="8"/>
  <c r="H50" i="8"/>
  <c r="I62" i="8"/>
  <c r="F26" i="4"/>
  <c r="G16" i="4"/>
  <c r="F59" i="8"/>
  <c r="F55" i="8"/>
  <c r="F47" i="8"/>
  <c r="F38" i="8"/>
  <c r="F28" i="8"/>
  <c r="F23" i="8"/>
  <c r="F16" i="8"/>
  <c r="F11" i="8"/>
  <c r="F34" i="8"/>
  <c r="F56" i="8"/>
  <c r="F48" i="8"/>
  <c r="F17" i="8"/>
  <c r="F58" i="8"/>
  <c r="F54" i="8"/>
  <c r="F46" i="8"/>
  <c r="F31" i="8"/>
  <c r="F27" i="8"/>
  <c r="F19" i="8"/>
  <c r="F15" i="8"/>
  <c r="F9" i="8"/>
  <c r="F6" i="8"/>
  <c r="F29" i="8"/>
  <c r="F12" i="8"/>
  <c r="F61" i="8"/>
  <c r="F57" i="8"/>
  <c r="F49" i="8"/>
  <c r="F45" i="8"/>
  <c r="F30" i="8"/>
  <c r="F26" i="8"/>
  <c r="F18" i="8"/>
  <c r="F14" i="8"/>
  <c r="F8" i="8"/>
  <c r="F60" i="8"/>
  <c r="F39" i="8"/>
  <c r="F25" i="8"/>
  <c r="F7" i="8"/>
  <c r="G15" i="4"/>
  <c r="E26" i="4"/>
  <c r="F16" i="4"/>
  <c r="E34" i="8"/>
  <c r="E60" i="8"/>
  <c r="E56" i="8"/>
  <c r="E48" i="8"/>
  <c r="E39" i="8"/>
  <c r="E29" i="8"/>
  <c r="E25" i="8"/>
  <c r="E17" i="8"/>
  <c r="E12" i="8"/>
  <c r="E7" i="8"/>
  <c r="E61" i="8"/>
  <c r="E30" i="8"/>
  <c r="E26" i="8"/>
  <c r="E8" i="8"/>
  <c r="E59" i="8"/>
  <c r="E55" i="8"/>
  <c r="E47" i="8"/>
  <c r="E38" i="8"/>
  <c r="E28" i="8"/>
  <c r="E23" i="8"/>
  <c r="E16" i="8"/>
  <c r="E11" i="8"/>
  <c r="E6" i="8"/>
  <c r="E57" i="8"/>
  <c r="E45" i="8"/>
  <c r="E18" i="8"/>
  <c r="E58" i="8"/>
  <c r="E54" i="8"/>
  <c r="E46" i="8"/>
  <c r="E31" i="8"/>
  <c r="E27" i="8"/>
  <c r="E19" i="8"/>
  <c r="E15" i="8"/>
  <c r="E9" i="8"/>
  <c r="E49" i="8"/>
  <c r="E14" i="8"/>
  <c r="F62" i="8"/>
  <c r="E20" i="8"/>
  <c r="F20" i="8"/>
  <c r="E40" i="8"/>
  <c r="G66" i="1"/>
  <c r="G66" i="8" s="1"/>
  <c r="G64" i="8"/>
  <c r="E66" i="1"/>
  <c r="E66" i="8" s="1"/>
  <c r="E64" i="8"/>
  <c r="G26" i="4"/>
  <c r="H16" i="4"/>
  <c r="G58" i="8"/>
  <c r="G54" i="8"/>
  <c r="G46" i="8"/>
  <c r="G31" i="8"/>
  <c r="G27" i="8"/>
  <c r="G19" i="8"/>
  <c r="G15" i="8"/>
  <c r="G9" i="8"/>
  <c r="G38" i="8"/>
  <c r="G11" i="8"/>
  <c r="G61" i="8"/>
  <c r="G57" i="8"/>
  <c r="G49" i="8"/>
  <c r="G45" i="8"/>
  <c r="G30" i="8"/>
  <c r="G26" i="8"/>
  <c r="G18" i="8"/>
  <c r="G14" i="8"/>
  <c r="G8" i="8"/>
  <c r="G59" i="8"/>
  <c r="G47" i="8"/>
  <c r="G23" i="8"/>
  <c r="G34" i="8"/>
  <c r="G60" i="8"/>
  <c r="G56" i="8"/>
  <c r="G48" i="8"/>
  <c r="G39" i="8"/>
  <c r="G29" i="8"/>
  <c r="G25" i="8"/>
  <c r="G17" i="8"/>
  <c r="G12" i="8"/>
  <c r="G7" i="8"/>
  <c r="G6" i="8"/>
  <c r="G55" i="8"/>
  <c r="G28" i="8"/>
  <c r="G16" i="8"/>
  <c r="I26" i="4"/>
  <c r="I34" i="8"/>
  <c r="I60" i="8"/>
  <c r="I56" i="8"/>
  <c r="I48" i="8"/>
  <c r="I39" i="8"/>
  <c r="I29" i="8"/>
  <c r="I25" i="8"/>
  <c r="I17" i="8"/>
  <c r="I12" i="8"/>
  <c r="I7" i="8"/>
  <c r="I6" i="8"/>
  <c r="I45" i="8"/>
  <c r="I14" i="8"/>
  <c r="I59" i="8"/>
  <c r="I55" i="8"/>
  <c r="I47" i="8"/>
  <c r="I38" i="8"/>
  <c r="I28" i="8"/>
  <c r="I23" i="8"/>
  <c r="I16" i="8"/>
  <c r="I11" i="8"/>
  <c r="I49" i="8"/>
  <c r="I26" i="8"/>
  <c r="I8" i="8"/>
  <c r="I58" i="8"/>
  <c r="I54" i="8"/>
  <c r="I46" i="8"/>
  <c r="I31" i="8"/>
  <c r="I27" i="8"/>
  <c r="I19" i="8"/>
  <c r="I15" i="8"/>
  <c r="I9" i="8"/>
  <c r="I61" i="8"/>
  <c r="I57" i="8"/>
  <c r="I30" i="8"/>
  <c r="I18" i="8"/>
  <c r="F15" i="4"/>
  <c r="G62" i="8"/>
  <c r="I32" i="8"/>
  <c r="E62" i="8"/>
  <c r="H20" i="8"/>
  <c r="F50" i="8"/>
  <c r="E32" i="8"/>
  <c r="I66" i="1"/>
  <c r="I66" i="8" s="1"/>
  <c r="I64" i="8"/>
  <c r="E6" i="4"/>
  <c r="E24" i="4"/>
  <c r="F6" i="4"/>
  <c r="F24" i="4"/>
  <c r="H6" i="4"/>
  <c r="H24" i="4"/>
  <c r="G6" i="4"/>
  <c r="G24" i="4"/>
  <c r="K18" i="2"/>
  <c r="K4" i="5" s="1"/>
  <c r="G25" i="2"/>
  <c r="G14" i="4" s="1"/>
  <c r="G17" i="4" s="1"/>
  <c r="H25" i="2"/>
  <c r="H18" i="7"/>
  <c r="I7" i="4"/>
  <c r="I6" i="4"/>
  <c r="E25" i="2"/>
  <c r="E18" i="7"/>
  <c r="F25" i="2"/>
  <c r="F18" i="7"/>
  <c r="I25" i="2"/>
  <c r="I10" i="4"/>
  <c r="I18" i="7"/>
  <c r="F68" i="1"/>
  <c r="G68" i="1"/>
  <c r="K62" i="5" l="1"/>
  <c r="K27" i="1" s="1"/>
  <c r="I68" i="8"/>
  <c r="E68" i="8"/>
  <c r="J23" i="2"/>
  <c r="J25" i="2" s="1"/>
  <c r="K21" i="2"/>
  <c r="K22" i="2"/>
  <c r="J18" i="7"/>
  <c r="J25" i="7" s="1"/>
  <c r="K16" i="7"/>
  <c r="K18" i="7" s="1"/>
  <c r="K25" i="7" s="1"/>
  <c r="I68" i="1"/>
  <c r="H68" i="1"/>
  <c r="H66" i="8"/>
  <c r="H68" i="8" s="1"/>
  <c r="G68" i="8"/>
  <c r="F68" i="8"/>
  <c r="E68" i="1"/>
  <c r="G9" i="4"/>
  <c r="G12" i="4"/>
  <c r="G25" i="7"/>
  <c r="G20" i="4"/>
  <c r="F14" i="4"/>
  <c r="F17" i="4" s="1"/>
  <c r="F20" i="4"/>
  <c r="F12" i="4"/>
  <c r="F9" i="4"/>
  <c r="F25" i="7"/>
  <c r="I14" i="4"/>
  <c r="I17" i="4" s="1"/>
  <c r="I20" i="4"/>
  <c r="I12" i="4"/>
  <c r="I9" i="4"/>
  <c r="I25" i="7"/>
  <c r="E14" i="4"/>
  <c r="E9" i="4"/>
  <c r="E25" i="7"/>
  <c r="G18" i="4"/>
  <c r="H20" i="4"/>
  <c r="H12" i="4"/>
  <c r="H14" i="4"/>
  <c r="H17" i="4" s="1"/>
  <c r="H9" i="4"/>
  <c r="H25" i="7"/>
  <c r="K32" i="1" l="1"/>
  <c r="K34" i="1" s="1"/>
  <c r="K32" i="8" s="1"/>
  <c r="J9" i="4"/>
  <c r="K23" i="2"/>
  <c r="K25" i="2" s="1"/>
  <c r="K9" i="4" s="1"/>
  <c r="I18" i="4"/>
  <c r="H18" i="4"/>
  <c r="F18" i="4"/>
  <c r="J20" i="1"/>
  <c r="J32" i="1"/>
  <c r="K26" i="8" l="1"/>
  <c r="K61" i="8"/>
  <c r="K20" i="8"/>
  <c r="K49" i="8"/>
  <c r="K58" i="8"/>
  <c r="K14" i="8"/>
  <c r="K7" i="8"/>
  <c r="K48" i="8"/>
  <c r="K38" i="8"/>
  <c r="K47" i="8"/>
  <c r="K12" i="8"/>
  <c r="K60" i="8"/>
  <c r="K55" i="8"/>
  <c r="K17" i="8"/>
  <c r="K28" i="8"/>
  <c r="K34" i="8"/>
  <c r="K11" i="8"/>
  <c r="K25" i="8"/>
  <c r="K18" i="8"/>
  <c r="K31" i="8"/>
  <c r="K62" i="8"/>
  <c r="K56" i="8"/>
  <c r="K50" i="8"/>
  <c r="K15" i="8"/>
  <c r="K6" i="8"/>
  <c r="K29" i="8"/>
  <c r="K27" i="8"/>
  <c r="K16" i="8"/>
  <c r="K64" i="8"/>
  <c r="K57" i="8"/>
  <c r="K45" i="8"/>
  <c r="K9" i="8"/>
  <c r="K30" i="8"/>
  <c r="K19" i="8"/>
  <c r="K8" i="8"/>
  <c r="K23" i="8"/>
  <c r="K59" i="8"/>
  <c r="K46" i="8"/>
  <c r="K54" i="8"/>
  <c r="J40" i="1"/>
  <c r="J66" i="1" s="1"/>
  <c r="J34" i="1"/>
  <c r="J66" i="8" l="1"/>
  <c r="J59" i="8"/>
  <c r="J61" i="8"/>
  <c r="J54" i="8"/>
  <c r="J58" i="8"/>
  <c r="J55" i="8"/>
  <c r="J60" i="8"/>
  <c r="J57" i="8"/>
  <c r="J62" i="8"/>
  <c r="J56" i="8"/>
  <c r="J64" i="8"/>
  <c r="K40" i="1"/>
  <c r="K39" i="8"/>
  <c r="J45" i="8"/>
  <c r="J47" i="8"/>
  <c r="J49" i="8"/>
  <c r="J39" i="8"/>
  <c r="J40" i="8"/>
  <c r="J34" i="8"/>
  <c r="J26" i="8"/>
  <c r="J28" i="8"/>
  <c r="J30" i="8"/>
  <c r="J15" i="8"/>
  <c r="J17" i="8"/>
  <c r="J19" i="8"/>
  <c r="J11" i="8"/>
  <c r="J6" i="8"/>
  <c r="J8" i="8"/>
  <c r="J46" i="8"/>
  <c r="J48" i="8"/>
  <c r="J50" i="8"/>
  <c r="J38" i="8"/>
  <c r="J23" i="8"/>
  <c r="J25" i="8"/>
  <c r="J27" i="8"/>
  <c r="J29" i="8"/>
  <c r="J31" i="8"/>
  <c r="J14" i="8"/>
  <c r="J16" i="8"/>
  <c r="J18" i="8"/>
  <c r="J20" i="8"/>
  <c r="J12" i="8"/>
  <c r="J7" i="8"/>
  <c r="J9" i="8"/>
  <c r="J32" i="8"/>
  <c r="J68" i="1"/>
  <c r="J68" i="8" l="1"/>
  <c r="K66" i="1"/>
  <c r="K40" i="8"/>
  <c r="K68" i="1" l="1"/>
  <c r="K66" i="8"/>
  <c r="K68" i="8" s="1"/>
</calcChain>
</file>

<file path=xl/comments1.xml><?xml version="1.0" encoding="utf-8"?>
<comments xmlns="http://schemas.openxmlformats.org/spreadsheetml/2006/main">
  <authors>
    <author>Windows User</author>
  </authors>
  <commentList>
    <comment ref="B33" authorId="0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Added power fuel milk procurement and stores and spares
</t>
        </r>
      </text>
    </comment>
  </commentList>
</comments>
</file>

<file path=xl/sharedStrings.xml><?xml version="1.0" encoding="utf-8"?>
<sst xmlns="http://schemas.openxmlformats.org/spreadsheetml/2006/main" count="440" uniqueCount="278">
  <si>
    <t>Balance Sheet</t>
  </si>
  <si>
    <t>(All numbers in Rs Crs unless specified)</t>
  </si>
  <si>
    <t>Profit &amp; Loss statement</t>
  </si>
  <si>
    <t>FY18 A</t>
  </si>
  <si>
    <t>FY19 A</t>
  </si>
  <si>
    <t>FY20 A</t>
  </si>
  <si>
    <t>FY21 A</t>
  </si>
  <si>
    <t>FY22 A</t>
  </si>
  <si>
    <t>FY23 E</t>
  </si>
  <si>
    <t>FY24 E</t>
  </si>
  <si>
    <t>Assumptions</t>
  </si>
  <si>
    <t>Assets</t>
  </si>
  <si>
    <t>Property, Plant and Equipment</t>
  </si>
  <si>
    <t>Goodwill</t>
  </si>
  <si>
    <t>Other intangible assets</t>
  </si>
  <si>
    <t>Biological Assets other than bearer plants</t>
  </si>
  <si>
    <t>Immatured biological assets</t>
  </si>
  <si>
    <t>Matured biological assets</t>
  </si>
  <si>
    <t>Financial assets</t>
  </si>
  <si>
    <t>Investments</t>
  </si>
  <si>
    <t>Loans</t>
  </si>
  <si>
    <t>Other financial assets</t>
  </si>
  <si>
    <t>Other tax assets</t>
  </si>
  <si>
    <t>Deferred tax assets</t>
  </si>
  <si>
    <t>Other Non current assets</t>
  </si>
  <si>
    <t>Current Assets</t>
  </si>
  <si>
    <t>Inventories</t>
  </si>
  <si>
    <t>Trade receivables</t>
  </si>
  <si>
    <t>Other Bank balances</t>
  </si>
  <si>
    <t>Non current assets</t>
  </si>
  <si>
    <t>Capital work in progress</t>
  </si>
  <si>
    <t>Total Non current assets</t>
  </si>
  <si>
    <t>Cash and cash equivalents</t>
  </si>
  <si>
    <t>Other current assets</t>
  </si>
  <si>
    <t>Total Current assets</t>
  </si>
  <si>
    <t>Total Assets</t>
  </si>
  <si>
    <t>Equity and Liabilities</t>
  </si>
  <si>
    <t xml:space="preserve">Equity </t>
  </si>
  <si>
    <t>Equity share capital</t>
  </si>
  <si>
    <t>Other equity</t>
  </si>
  <si>
    <t>Total equity</t>
  </si>
  <si>
    <t>Liabilities</t>
  </si>
  <si>
    <t>Non current liabilities</t>
  </si>
  <si>
    <t>Financial liabilities</t>
  </si>
  <si>
    <t>Borrowings</t>
  </si>
  <si>
    <t>lease liabilities</t>
  </si>
  <si>
    <t>Provisions</t>
  </si>
  <si>
    <t>Deferred tax liabilities</t>
  </si>
  <si>
    <t>Government grants</t>
  </si>
  <si>
    <t>Total Non current liabilities</t>
  </si>
  <si>
    <t>Current liabilities</t>
  </si>
  <si>
    <t>Trade payables</t>
  </si>
  <si>
    <t>other financial liabilities</t>
  </si>
  <si>
    <t>Other current liabilities</t>
  </si>
  <si>
    <t>Current tax liabilities</t>
  </si>
  <si>
    <t>Total current liabilities</t>
  </si>
  <si>
    <t>Total liabilities</t>
  </si>
  <si>
    <t>Total Equity and Liabilities</t>
  </si>
  <si>
    <t>other income</t>
  </si>
  <si>
    <t>Income :</t>
  </si>
  <si>
    <t>Revenue from operations</t>
  </si>
  <si>
    <t>Expenses :</t>
  </si>
  <si>
    <t>Total income</t>
  </si>
  <si>
    <t>Cost of materials consumed</t>
  </si>
  <si>
    <t>Changes in inventories of finished goods, stock in trade and WIP</t>
  </si>
  <si>
    <t>Employee benefits expense</t>
  </si>
  <si>
    <t>Finance costs</t>
  </si>
  <si>
    <t>Depreciation and amortization expense</t>
  </si>
  <si>
    <t>Other expenses</t>
  </si>
  <si>
    <t>Total Expenses</t>
  </si>
  <si>
    <t>Profit before tax</t>
  </si>
  <si>
    <t>Tax expenses</t>
  </si>
  <si>
    <t>Current tax</t>
  </si>
  <si>
    <t>Deferred tax</t>
  </si>
  <si>
    <t>Total Tax expenses</t>
  </si>
  <si>
    <t>Profit for the year</t>
  </si>
  <si>
    <t>P &amp; L Assumptions</t>
  </si>
  <si>
    <t>Revenue growth YOY</t>
  </si>
  <si>
    <t>Revenue of India’s organised dairy industry will rebound a solid 12% on-year this fiscal FY22 to Rs 1.6 lakh crore, compared with a decadal low growth of ~1% last fiscal,FY21</t>
  </si>
  <si>
    <t>Steady demand for both VAP (around one-third share of organised sector sales) and liquid milk (around two-thirds share) is likely to lead to 5-6% growth next fiscal, too, in line with the pre-pandemic trend.</t>
  </si>
  <si>
    <t>Operating profitability, however, will be set back to the pre-pandemic level of 5-5.5% in the next two fiscals — from the peak of 6% seen in fiscal 2021 — because of high raw milk prices, along with higher transportation and packaging costs, and despite dairies increasing retail product prices by 3-4% across categories this year. </t>
  </si>
  <si>
    <t>Dairies convert liquid milk into skimmed milk powder (SMP) for use in the lean season, when milk supplies decline</t>
  </si>
  <si>
    <t>SMP can be reconverted into liquid milk or VAP and has a shelf life of 12-18 months.</t>
  </si>
  <si>
    <t>(HORECA segment, accounting for ~20% of organised sector sales)</t>
  </si>
  <si>
    <t>Hotel restaurant and cafes</t>
  </si>
  <si>
    <t>peak summer season for ice-creams (14% of overall VAP sales) </t>
  </si>
  <si>
    <t>Flush season refers to the peak period of raw milk supply, which is generally from December to mid-March every year.</t>
  </si>
  <si>
    <t>Interest coverage continues to be supported by interest subvention of up to 4% on working capital loans to dairy cooperatives. This scheme has been extended till March 31, 2026.</t>
  </si>
  <si>
    <t>https://www.crisil.com/en/home/newsroom/press-releases/2022/02/organised-dairies-to-scoop-12-percent-revenue-growth-this-fiscal.html</t>
  </si>
  <si>
    <t>Milk procurement prices have shot up 8-10% in the past six months because of lower-than-expected milk collection — on account of cattle diseases</t>
  </si>
  <si>
    <t>high prices of cattle feed.</t>
  </si>
  <si>
    <t>slide in profitability of the organised dairy sector to 50 basis points (bps) on-year this fiscal, FY23</t>
  </si>
  <si>
    <t>As the VAP segment is comparatively price inelastic, profitability is typically better, at 7-9%</t>
  </si>
  <si>
    <t>Volume growth, along with increase in average realisations by 6-6.5% this fiscal, following the hikes in retail milk prices will translate to 13-14% higher revenue for organised dairy players.</t>
  </si>
  <si>
    <t>VAP; accounting for 28% of organised sector revenue1)</t>
  </si>
  <si>
    <t>debt metrics such as gearing and interest coverage ratio2 to remain comfortable at 1.2 times and 6.5 times, respectively, in the near term.</t>
  </si>
  <si>
    <t>limit exports of skimmed milk powder (SMP) and prune inventory, given that SMP inventory accounts for 70-75% of the working capital requirement of dairies</t>
  </si>
  <si>
    <t>sectoral sales comprise 65% liquid milk, 28% VAP, and the remaining SMP</t>
  </si>
  <si>
    <t>Leverage should remain comfortable with total outside liabilities to tangible networth ratio expected at 2.5-2.6 times, compared with 2.7 times last fiscal</t>
  </si>
  <si>
    <t>https://www.crisil.com/en/home/newsroom/press-releases/2022/08/milk-price-hike-to-limit-drop-in-profitability-of-organised-dairies.html</t>
  </si>
  <si>
    <t>With demand continuing to outpace supply, even during the flush season this year, procurement prices would continue to grow at ~5%</t>
  </si>
  <si>
    <t>Revenue</t>
  </si>
  <si>
    <t>Milk procurement</t>
  </si>
  <si>
    <t>Milk Sales</t>
  </si>
  <si>
    <t>Curd sales</t>
  </si>
  <si>
    <t>VAP(includes fat and fat based products)</t>
  </si>
  <si>
    <t>Other income</t>
  </si>
  <si>
    <t>Average</t>
  </si>
  <si>
    <t>Balance sheet assumptions</t>
  </si>
  <si>
    <t>Non compete arrangement with whom and why intangible assets - because we paid someone to be non compete</t>
  </si>
  <si>
    <t xml:space="preserve">brands in intangible assets might be marketing expenses slowly amortizing </t>
  </si>
  <si>
    <t>194 claves and 270 cattles as of 31 march 22 and 137 sold</t>
  </si>
  <si>
    <t>Ratio analysis</t>
  </si>
  <si>
    <t>EBITDA margin</t>
  </si>
  <si>
    <t>PAT margin</t>
  </si>
  <si>
    <t>Return on assets</t>
  </si>
  <si>
    <t xml:space="preserve">Return on equity </t>
  </si>
  <si>
    <t>Return on capital employed</t>
  </si>
  <si>
    <t>EBITDA</t>
  </si>
  <si>
    <t xml:space="preserve">EBITDA 4 years %CAGR </t>
  </si>
  <si>
    <t xml:space="preserve">PAT 4 years %CAGR </t>
  </si>
  <si>
    <t>DuPont ROE</t>
  </si>
  <si>
    <t>NP margin</t>
  </si>
  <si>
    <t>Asset turnover</t>
  </si>
  <si>
    <t>Financial leverage</t>
  </si>
  <si>
    <t>Profitability ratios</t>
  </si>
  <si>
    <t>Leverage ratios</t>
  </si>
  <si>
    <t>Interest Coverage ratio</t>
  </si>
  <si>
    <t>Debt to Equity</t>
  </si>
  <si>
    <t>Debt to Asset</t>
  </si>
  <si>
    <t>Particulars</t>
  </si>
  <si>
    <t>Cashflow statement</t>
  </si>
  <si>
    <t>Cash flows from operating activities</t>
  </si>
  <si>
    <t>Adjustments for:</t>
  </si>
  <si>
    <t>Depreciation and amortisation expense</t>
  </si>
  <si>
    <t>Changes in fair valuation of biological assets</t>
  </si>
  <si>
    <t>Loss on sale/ retirement of property, plant and equipment, net</t>
  </si>
  <si>
    <t>Loss on sale/ discard of biological assets, net</t>
  </si>
  <si>
    <t>Interest income</t>
  </si>
  <si>
    <t>Employee share based payment expense</t>
  </si>
  <si>
    <t>Profit on sale of current investments in mutual fund, net</t>
  </si>
  <si>
    <t>Fair value loss on financial assets measured at fair value through profit and loss, net</t>
  </si>
  <si>
    <t>Provision for impairment of receivables, advances and other assets, net</t>
  </si>
  <si>
    <t>Government grant income</t>
  </si>
  <si>
    <t>Change in operating assets and liabilities</t>
  </si>
  <si>
    <t>(Increase)/Decrease in inventories</t>
  </si>
  <si>
    <t>Increase in loans and other financial assets</t>
  </si>
  <si>
    <t>Cash generated from operations</t>
  </si>
  <si>
    <t>Income taxes paid, net</t>
  </si>
  <si>
    <t>Net cash generated from operating activities</t>
  </si>
  <si>
    <t>Cash flows from investing activities</t>
  </si>
  <si>
    <t>Acquisition of property, plant and equipment and intangible assets</t>
  </si>
  <si>
    <t>Proceeds from sale of property, plant and equipment</t>
  </si>
  <si>
    <t>Proceeds from sale of biological assets</t>
  </si>
  <si>
    <t>Purchase of investments</t>
  </si>
  <si>
    <t>Advance paid for acquisition of business</t>
  </si>
  <si>
    <t>Proceeds from sale of investments</t>
  </si>
  <si>
    <t>Interest received</t>
  </si>
  <si>
    <t>Deposits (placed)/ redeemed (having original maturity of more than three months),net</t>
  </si>
  <si>
    <t>-</t>
  </si>
  <si>
    <t>Net cash used in investing activities</t>
  </si>
  <si>
    <t>Cash flows from financing activities</t>
  </si>
  <si>
    <t>Issue of Shares</t>
  </si>
  <si>
    <t>Share issue expenses</t>
  </si>
  <si>
    <t>Payment of dividend</t>
  </si>
  <si>
    <t>Repayment of lease liabilities</t>
  </si>
  <si>
    <t>Interest on lease liabilities</t>
  </si>
  <si>
    <t>Finance costs paid</t>
  </si>
  <si>
    <t>Net cash generated from/(used in) financing activities</t>
  </si>
  <si>
    <t>Net (decrease)/increase in cash and cash equivalents</t>
  </si>
  <si>
    <t>Cash and cash equivalents at the beginning of the year</t>
  </si>
  <si>
    <t>Effect of exchange rate fluctuations on cash held</t>
  </si>
  <si>
    <t>Cash and cash equivalents at end of the year</t>
  </si>
  <si>
    <t>Dividend income from investment in Mutual Funds</t>
  </si>
  <si>
    <t>Unrealised foreign exchange gain, net</t>
  </si>
  <si>
    <t>(Increase)/Decrease in trade receivables</t>
  </si>
  <si>
    <t>(Increase)/Decrease in other current and non-current assets</t>
  </si>
  <si>
    <t>Increase/(Decrease) in trade payables and other financial liabilities</t>
  </si>
  <si>
    <t>Increase/ (decrease) in employee benefits obligation</t>
  </si>
  <si>
    <t>Increase/ (decrease) in other current and non-current liabilities</t>
  </si>
  <si>
    <t>Purchase of assets and liabilities in slump sale agreement</t>
  </si>
  <si>
    <t>Dividend received</t>
  </si>
  <si>
    <t>Receipt of long term borrowings from issue of debentures</t>
  </si>
  <si>
    <t>(Repayment)/receipt of long term borrowings</t>
  </si>
  <si>
    <t>Receipt of government grant</t>
  </si>
  <si>
    <t>(Repayment)/ receipt of short term borrowings, net</t>
  </si>
  <si>
    <t>Capital infused by non-controlling interest in the subsidiary</t>
  </si>
  <si>
    <t>Fixed Assets Turnover Ratio</t>
  </si>
  <si>
    <t>Working Capital Turnover Ratio</t>
  </si>
  <si>
    <t>Inventory Turnover Ratio</t>
  </si>
  <si>
    <t>Inventory Number of Days</t>
  </si>
  <si>
    <t>Receivable Turnover Ratio</t>
  </si>
  <si>
    <t>Days Sales Outstanding (DSO)</t>
  </si>
  <si>
    <t>Activity ratios</t>
  </si>
  <si>
    <t>Fixed Assets</t>
  </si>
  <si>
    <t>Working capital days</t>
  </si>
  <si>
    <t>Cost of goods sold</t>
  </si>
  <si>
    <t>Revenue Model</t>
  </si>
  <si>
    <t>Milk Procurement</t>
  </si>
  <si>
    <t>Milk sales</t>
  </si>
  <si>
    <t>COGS</t>
  </si>
  <si>
    <t>Curd</t>
  </si>
  <si>
    <t>Ice cream</t>
  </si>
  <si>
    <t>Asset Schedule</t>
  </si>
  <si>
    <t>Add : Capex</t>
  </si>
  <si>
    <t>Less : Disposal of assets</t>
  </si>
  <si>
    <t>Opening Gross Block</t>
  </si>
  <si>
    <t>Closing Gross Block</t>
  </si>
  <si>
    <t>Accumulated Depriciation</t>
  </si>
  <si>
    <t>Opening Balance</t>
  </si>
  <si>
    <t>Add:Current Year Depriciation</t>
  </si>
  <si>
    <t>Less: Depriciation Non Expense</t>
  </si>
  <si>
    <t>Closing Balance</t>
  </si>
  <si>
    <t>Net Block</t>
  </si>
  <si>
    <t>Net Block YOY%</t>
  </si>
  <si>
    <t>Proportion</t>
  </si>
  <si>
    <t>Average - Includes software, brands and Non-compete</t>
  </si>
  <si>
    <t>Days sale outstanding</t>
  </si>
  <si>
    <t>Inventory  Turnover</t>
  </si>
  <si>
    <t>Inventory #no of days</t>
  </si>
  <si>
    <t>Shares</t>
  </si>
  <si>
    <t>Non Current</t>
  </si>
  <si>
    <t>Current</t>
  </si>
  <si>
    <t>Trade payables Days</t>
  </si>
  <si>
    <t>Other current assets &amp; " as a % of net block"</t>
  </si>
  <si>
    <t>explicit</t>
  </si>
  <si>
    <t>Valuation</t>
  </si>
  <si>
    <t>CAPM</t>
  </si>
  <si>
    <t>Riskfree rate(10Y Gsec)</t>
  </si>
  <si>
    <t>Data as on 26.12.22</t>
  </si>
  <si>
    <t xml:space="preserve">Beta(372 days daily beta) </t>
  </si>
  <si>
    <t>Market return(20Y returns Nifty Source: Groww)</t>
  </si>
  <si>
    <t>FCFF</t>
  </si>
  <si>
    <t>Cost of debt</t>
  </si>
  <si>
    <t>Tax rate</t>
  </si>
  <si>
    <t>Target: Debt ratio</t>
  </si>
  <si>
    <t>Terminal Growth rate</t>
  </si>
  <si>
    <t>Assumed</t>
  </si>
  <si>
    <t>WACC</t>
  </si>
  <si>
    <t>Terminal Cashflow</t>
  </si>
  <si>
    <t>Discount Factor</t>
  </si>
  <si>
    <t>PV of Cashflow</t>
  </si>
  <si>
    <t>Enterprise Value</t>
  </si>
  <si>
    <t>Less : Total Debt</t>
  </si>
  <si>
    <t>Add : Cash</t>
  </si>
  <si>
    <t xml:space="preserve">Equity Value </t>
  </si>
  <si>
    <t>Share Capital</t>
  </si>
  <si>
    <t>Face Value</t>
  </si>
  <si>
    <t>No of Shares</t>
  </si>
  <si>
    <t>Share Price</t>
  </si>
  <si>
    <t>145cr</t>
  </si>
  <si>
    <t>173 cr</t>
  </si>
  <si>
    <t>VAP(Inluding fats and fats based products)</t>
  </si>
  <si>
    <t>1800 LPD</t>
  </si>
  <si>
    <t>3000 LPD</t>
  </si>
  <si>
    <t>15-16% EBITDA Margin</t>
  </si>
  <si>
    <t>125 cr</t>
  </si>
  <si>
    <t>Curd (MTPD)</t>
  </si>
  <si>
    <t>MTPD</t>
  </si>
  <si>
    <t>H1FY23</t>
  </si>
  <si>
    <t>EBITDA Margin</t>
  </si>
  <si>
    <t xml:space="preserve">Orgafeed </t>
  </si>
  <si>
    <t>Q2FY22</t>
  </si>
  <si>
    <t>Q1FY23</t>
  </si>
  <si>
    <t>Q2FY23</t>
  </si>
  <si>
    <t>Net Sales realization</t>
  </si>
  <si>
    <t>NA</t>
  </si>
  <si>
    <t>Africa</t>
  </si>
  <si>
    <t>Maharashtra</t>
  </si>
  <si>
    <t>Telangana</t>
  </si>
  <si>
    <t>Tamil Nadu</t>
  </si>
  <si>
    <t>Karnataka</t>
  </si>
  <si>
    <t>AP</t>
  </si>
  <si>
    <t>India</t>
  </si>
  <si>
    <t>Procurement</t>
  </si>
  <si>
    <t xml:space="preserve">Sold </t>
  </si>
  <si>
    <t>State's share in Milk sales in terms of volume for Q2FY23(Indian Business)</t>
  </si>
  <si>
    <t xml:space="preserve">Ice Cream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</si>
</sst>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0;[Red]#,##0.00"/>
    <numFmt numFmtId="165" formatCode="0.0000"/>
    <numFmt numFmtId="167" formatCode="#,##0.0000"/>
    <numFmt numFmtId="168" formatCode="#,##0.000;[Red]#,##0.000"/>
    <numFmt numFmtId="169" formatCode="0.0%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8"/>
      <color rgb="FF737373"/>
      <name val="Akkuratregular"/>
    </font>
    <font>
      <sz val="12"/>
      <color rgb="FF737373"/>
      <name val="Akkuratregular"/>
    </font>
    <font>
      <b/>
      <sz val="18"/>
      <color rgb="FF737373"/>
      <name val="Akkuratregular"/>
    </font>
    <font>
      <i/>
      <sz val="12"/>
      <color rgb="FF737373"/>
      <name val="Akkuratregular"/>
    </font>
    <font>
      <b/>
      <sz val="12"/>
      <color rgb="FF737373"/>
      <name val="Akkuratregular"/>
    </font>
    <font>
      <sz val="12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sz val="12"/>
      <color rgb="FF666666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0" xfId="0" applyFont="1"/>
    <xf numFmtId="4" fontId="0" fillId="0" borderId="0" xfId="0" applyNumberFormat="1"/>
    <xf numFmtId="2" fontId="0" fillId="0" borderId="0" xfId="0" applyNumberFormat="1"/>
    <xf numFmtId="0" fontId="0" fillId="0" borderId="1" xfId="0" applyBorder="1"/>
    <xf numFmtId="0" fontId="1" fillId="0" borderId="1" xfId="0" applyFont="1" applyBorder="1"/>
    <xf numFmtId="4" fontId="1" fillId="0" borderId="1" xfId="0" applyNumberFormat="1" applyFont="1" applyBorder="1"/>
    <xf numFmtId="0" fontId="5" fillId="0" borderId="0" xfId="0" applyFont="1"/>
    <xf numFmtId="0" fontId="1" fillId="0" borderId="2" xfId="0" applyFont="1" applyBorder="1"/>
    <xf numFmtId="4" fontId="1" fillId="0" borderId="2" xfId="0" applyNumberFormat="1" applyFont="1" applyBorder="1"/>
    <xf numFmtId="4" fontId="6" fillId="0" borderId="0" xfId="0" applyNumberFormat="1" applyFont="1"/>
    <xf numFmtId="0" fontId="6" fillId="0" borderId="0" xfId="0" applyFont="1"/>
    <xf numFmtId="2" fontId="6" fillId="0" borderId="0" xfId="0" applyNumberFormat="1" applyFont="1"/>
    <xf numFmtId="2" fontId="1" fillId="0" borderId="1" xfId="0" applyNumberFormat="1" applyFont="1" applyBorder="1"/>
    <xf numFmtId="2" fontId="1" fillId="0" borderId="0" xfId="0" applyNumberFormat="1" applyFont="1"/>
    <xf numFmtId="9" fontId="7" fillId="0" borderId="0" xfId="1" applyFont="1"/>
    <xf numFmtId="10" fontId="7" fillId="0" borderId="0" xfId="1" applyNumberFormat="1" applyFont="1"/>
    <xf numFmtId="4" fontId="7" fillId="0" borderId="0" xfId="0" applyNumberFormat="1" applyFont="1"/>
    <xf numFmtId="10" fontId="8" fillId="0" borderId="1" xfId="1" applyNumberFormat="1" applyFont="1" applyBorder="1"/>
    <xf numFmtId="10" fontId="8" fillId="0" borderId="2" xfId="1" applyNumberFormat="1" applyFont="1" applyBorder="1"/>
    <xf numFmtId="10" fontId="8" fillId="0" borderId="0" xfId="1" applyNumberFormat="1" applyFont="1" applyBorder="1"/>
    <xf numFmtId="10" fontId="7" fillId="0" borderId="0" xfId="1" applyNumberFormat="1" applyFont="1" applyBorder="1"/>
    <xf numFmtId="10" fontId="7" fillId="2" borderId="0" xfId="1" applyNumberFormat="1" applyFont="1" applyFill="1"/>
    <xf numFmtId="9" fontId="0" fillId="0" borderId="0" xfId="1" applyFont="1"/>
    <xf numFmtId="10" fontId="0" fillId="0" borderId="0" xfId="1" applyNumberFormat="1" applyFont="1"/>
    <xf numFmtId="10" fontId="0" fillId="2" borderId="0" xfId="1" applyNumberFormat="1" applyFont="1" applyFill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/>
    <xf numFmtId="0" fontId="13" fillId="0" borderId="0" xfId="0" applyFont="1" applyAlignment="1">
      <alignment vertical="center"/>
    </xf>
    <xf numFmtId="0" fontId="14" fillId="0" borderId="0" xfId="0" applyFont="1"/>
    <xf numFmtId="2" fontId="0" fillId="0" borderId="0" xfId="1" applyNumberFormat="1" applyFont="1"/>
    <xf numFmtId="0" fontId="0" fillId="0" borderId="0" xfId="0" applyAlignment="1">
      <alignment horizontal="center"/>
    </xf>
    <xf numFmtId="0" fontId="1" fillId="0" borderId="3" xfId="0" applyFont="1" applyBorder="1"/>
    <xf numFmtId="164" fontId="0" fillId="0" borderId="0" xfId="0" applyNumberFormat="1"/>
    <xf numFmtId="164" fontId="1" fillId="0" borderId="3" xfId="0" applyNumberFormat="1" applyFont="1" applyBorder="1"/>
    <xf numFmtId="164" fontId="1" fillId="0" borderId="1" xfId="0" applyNumberFormat="1" applyFont="1" applyBorder="1"/>
    <xf numFmtId="164" fontId="1" fillId="0" borderId="2" xfId="0" applyNumberFormat="1" applyFont="1" applyBorder="1"/>
    <xf numFmtId="164" fontId="15" fillId="0" borderId="0" xfId="0" applyNumberFormat="1" applyFont="1"/>
    <xf numFmtId="10" fontId="0" fillId="0" borderId="1" xfId="1" applyNumberFormat="1" applyFont="1" applyBorder="1"/>
    <xf numFmtId="0" fontId="16" fillId="0" borderId="0" xfId="0" applyFont="1" applyAlignment="1">
      <alignment horizontal="left" vertical="center" indent="1"/>
    </xf>
    <xf numFmtId="165" fontId="0" fillId="0" borderId="0" xfId="0" applyNumberFormat="1"/>
    <xf numFmtId="2" fontId="1" fillId="0" borderId="3" xfId="0" applyNumberFormat="1" applyFont="1" applyBorder="1"/>
    <xf numFmtId="2" fontId="1" fillId="2" borderId="3" xfId="0" applyNumberFormat="1" applyFont="1" applyFill="1" applyBorder="1"/>
    <xf numFmtId="2" fontId="0" fillId="2" borderId="0" xfId="0" applyNumberFormat="1" applyFill="1"/>
    <xf numFmtId="10" fontId="0" fillId="0" borderId="0" xfId="0" applyNumberFormat="1"/>
    <xf numFmtId="9" fontId="8" fillId="0" borderId="1" xfId="1" applyFont="1" applyBorder="1"/>
    <xf numFmtId="167" fontId="0" fillId="0" borderId="0" xfId="0" applyNumberFormat="1"/>
    <xf numFmtId="4" fontId="14" fillId="0" borderId="0" xfId="0" applyNumberFormat="1" applyFont="1"/>
    <xf numFmtId="0" fontId="0" fillId="2" borderId="0" xfId="0" applyFill="1"/>
    <xf numFmtId="164" fontId="0" fillId="2" borderId="0" xfId="0" applyNumberFormat="1" applyFill="1"/>
    <xf numFmtId="0" fontId="19" fillId="0" borderId="0" xfId="0" applyFont="1"/>
    <xf numFmtId="168" fontId="0" fillId="0" borderId="0" xfId="0" applyNumberFormat="1"/>
    <xf numFmtId="0" fontId="0" fillId="0" borderId="0" xfId="0" applyFill="1"/>
    <xf numFmtId="2" fontId="0" fillId="0" borderId="0" xfId="0" applyNumberFormat="1" applyFill="1"/>
    <xf numFmtId="0" fontId="7" fillId="0" borderId="0" xfId="0" applyFont="1" applyFill="1"/>
    <xf numFmtId="2" fontId="6" fillId="0" borderId="0" xfId="0" applyNumberFormat="1" applyFont="1" applyFill="1"/>
    <xf numFmtId="4" fontId="0" fillId="0" borderId="0" xfId="0" applyNumberFormat="1" applyFill="1"/>
    <xf numFmtId="0" fontId="0" fillId="0" borderId="1" xfId="0" applyFill="1" applyBorder="1"/>
    <xf numFmtId="0" fontId="1" fillId="0" borderId="1" xfId="0" applyFont="1" applyFill="1" applyBorder="1"/>
    <xf numFmtId="2" fontId="1" fillId="0" borderId="1" xfId="0" applyNumberFormat="1" applyFont="1" applyFill="1" applyBorder="1"/>
    <xf numFmtId="4" fontId="1" fillId="0" borderId="1" xfId="0" applyNumberFormat="1" applyFont="1" applyFill="1" applyBorder="1"/>
    <xf numFmtId="0" fontId="1" fillId="0" borderId="0" xfId="0" applyFont="1" applyFill="1"/>
    <xf numFmtId="0" fontId="7" fillId="0" borderId="0" xfId="0" applyFont="1"/>
    <xf numFmtId="0" fontId="1" fillId="0" borderId="0" xfId="0" applyFont="1" applyAlignment="1">
      <alignment horizontal="right" vertical="top"/>
    </xf>
    <xf numFmtId="0" fontId="0" fillId="0" borderId="4" xfId="0" applyBorder="1"/>
    <xf numFmtId="2" fontId="0" fillId="0" borderId="4" xfId="0" applyNumberFormat="1" applyBorder="1"/>
    <xf numFmtId="0" fontId="1" fillId="3" borderId="4" xfId="0" applyFont="1" applyFill="1" applyBorder="1"/>
    <xf numFmtId="3" fontId="14" fillId="0" borderId="0" xfId="0" applyNumberFormat="1" applyFont="1"/>
    <xf numFmtId="14" fontId="0" fillId="0" borderId="0" xfId="0" applyNumberFormat="1"/>
    <xf numFmtId="0" fontId="1" fillId="0" borderId="4" xfId="0" applyFont="1" applyBorder="1" applyAlignment="1">
      <alignment horizontal="right" vertical="top"/>
    </xf>
    <xf numFmtId="2" fontId="1" fillId="0" borderId="5" xfId="0" applyNumberFormat="1" applyFont="1" applyBorder="1"/>
    <xf numFmtId="0" fontId="1" fillId="0" borderId="4" xfId="0" applyFont="1" applyBorder="1" applyAlignment="1">
      <alignment horizontal="left" vertical="top"/>
    </xf>
    <xf numFmtId="169" fontId="0" fillId="0" borderId="0" xfId="0" applyNumberFormat="1" applyFont="1"/>
    <xf numFmtId="3" fontId="1" fillId="0" borderId="0" xfId="0" applyNumberFormat="1" applyFont="1"/>
    <xf numFmtId="3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dla_Dairy_Screener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DLA.NS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napshot"/>
      <sheetName val="Valuation"/>
      <sheetName val="Profit &amp; Loss"/>
      <sheetName val="Quarters"/>
      <sheetName val="Balance Sheet"/>
      <sheetName val="Cash Flow"/>
      <sheetName val="Customization"/>
      <sheetName val="Data Sheet"/>
    </sheetNames>
    <sheetDataSet>
      <sheetData sheetId="0" refreshError="1"/>
      <sheetData sheetId="1" refreshError="1"/>
      <sheetData sheetId="2">
        <row r="1">
          <cell r="A1" t="str">
            <v>DODLA DAIRY LTD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1">
          <cell r="E1" t="str">
            <v/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IFTY SMALLCAP 100_Data"/>
      <sheetName val="Beta"/>
      <sheetName val="DODLA.NS"/>
    </sheetNames>
    <sheetDataSet>
      <sheetData sheetId="0" refreshError="1"/>
      <sheetData sheetId="1">
        <row r="5">
          <cell r="D5">
            <v>0.3570580944210015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6"/>
  <sheetViews>
    <sheetView showGridLines="0" tabSelected="1" workbookViewId="0">
      <selection activeCell="E46" sqref="B35:E46"/>
    </sheetView>
  </sheetViews>
  <sheetFormatPr defaultRowHeight="15"/>
  <cols>
    <col min="2" max="2" width="3.85546875" customWidth="1"/>
    <col min="3" max="3" width="15" customWidth="1"/>
    <col min="4" max="5" width="12.5703125" bestFit="1" customWidth="1"/>
  </cols>
  <sheetData>
    <row r="2" spans="2:6" ht="34.5" customHeight="1">
      <c r="B2" s="81" t="s">
        <v>276</v>
      </c>
      <c r="C2" s="81"/>
      <c r="D2" s="81"/>
      <c r="E2" s="81"/>
    </row>
    <row r="3" spans="2:6">
      <c r="D3" s="80" t="s">
        <v>275</v>
      </c>
      <c r="E3" s="80" t="s">
        <v>274</v>
      </c>
    </row>
    <row r="4" spans="2:6">
      <c r="B4" s="4" t="s">
        <v>273</v>
      </c>
      <c r="D4" s="80"/>
      <c r="E4" s="80"/>
    </row>
    <row r="5" spans="2:6">
      <c r="C5" s="4" t="s">
        <v>272</v>
      </c>
      <c r="D5" s="79">
        <v>442000</v>
      </c>
      <c r="E5" s="79">
        <v>480000</v>
      </c>
      <c r="F5">
        <f>D5/D11</f>
        <v>0.31459074733096087</v>
      </c>
    </row>
    <row r="6" spans="2:6">
      <c r="C6" s="4" t="s">
        <v>271</v>
      </c>
      <c r="D6" s="79">
        <v>530000</v>
      </c>
      <c r="E6" s="79">
        <v>270000</v>
      </c>
      <c r="F6">
        <f>D6/D11</f>
        <v>0.37722419928825623</v>
      </c>
    </row>
    <row r="7" spans="2:6">
      <c r="C7" s="4" t="s">
        <v>270</v>
      </c>
      <c r="D7" s="79">
        <v>210000</v>
      </c>
      <c r="E7" s="79">
        <v>440000</v>
      </c>
    </row>
    <row r="8" spans="2:6">
      <c r="C8" s="4" t="s">
        <v>269</v>
      </c>
      <c r="D8" s="79">
        <v>130000</v>
      </c>
      <c r="E8" s="79">
        <v>40000</v>
      </c>
    </row>
    <row r="9" spans="2:6">
      <c r="C9" s="4" t="s">
        <v>268</v>
      </c>
      <c r="D9" s="79">
        <v>0</v>
      </c>
      <c r="E9" s="79">
        <v>110000</v>
      </c>
    </row>
    <row r="10" spans="2:6">
      <c r="B10" s="4" t="s">
        <v>267</v>
      </c>
      <c r="D10" s="79">
        <v>93000</v>
      </c>
      <c r="E10" s="79" t="s">
        <v>266</v>
      </c>
    </row>
    <row r="11" spans="2:6">
      <c r="D11" s="78">
        <f>SUM(D5:D10)</f>
        <v>1405000</v>
      </c>
      <c r="E11" s="78">
        <f>SUM(E5:E10)</f>
        <v>1340000</v>
      </c>
    </row>
    <row r="13" spans="2:6">
      <c r="B13" s="4" t="s">
        <v>265</v>
      </c>
      <c r="D13" s="36" t="s">
        <v>264</v>
      </c>
      <c r="E13" s="36" t="s">
        <v>263</v>
      </c>
      <c r="F13" s="36" t="s">
        <v>262</v>
      </c>
    </row>
    <row r="14" spans="2:6">
      <c r="D14">
        <v>52.75</v>
      </c>
      <c r="E14">
        <v>51.78</v>
      </c>
      <c r="F14">
        <v>49.36</v>
      </c>
    </row>
    <row r="17" spans="3:7">
      <c r="C17" t="s">
        <v>261</v>
      </c>
      <c r="D17" t="s">
        <v>101</v>
      </c>
      <c r="E17" t="s">
        <v>118</v>
      </c>
      <c r="F17" t="s">
        <v>260</v>
      </c>
    </row>
    <row r="18" spans="3:7">
      <c r="C18" t="s">
        <v>259</v>
      </c>
      <c r="D18">
        <v>28</v>
      </c>
      <c r="E18">
        <v>3</v>
      </c>
      <c r="F18" s="77">
        <f>E18/D18</f>
        <v>0.10714285714285714</v>
      </c>
    </row>
    <row r="21" spans="3:7">
      <c r="D21" t="s">
        <v>258</v>
      </c>
    </row>
    <row r="22" spans="3:7">
      <c r="C22" t="s">
        <v>257</v>
      </c>
      <c r="D22">
        <v>292</v>
      </c>
      <c r="F22">
        <v>252</v>
      </c>
    </row>
    <row r="23" spans="3:7">
      <c r="C23" t="s">
        <v>201</v>
      </c>
      <c r="D23" t="s">
        <v>256</v>
      </c>
      <c r="G23" t="s">
        <v>255</v>
      </c>
    </row>
    <row r="24" spans="3:7">
      <c r="C24" t="s">
        <v>277</v>
      </c>
      <c r="D24" t="s">
        <v>254</v>
      </c>
      <c r="F24" t="s">
        <v>253</v>
      </c>
    </row>
    <row r="25" spans="3:7">
      <c r="D25">
        <v>4.4400000000000004</v>
      </c>
      <c r="F25">
        <v>2.7</v>
      </c>
    </row>
    <row r="26" spans="3:7">
      <c r="C26" t="s">
        <v>252</v>
      </c>
      <c r="D26" t="s">
        <v>251</v>
      </c>
      <c r="F26" t="s">
        <v>250</v>
      </c>
    </row>
  </sheetData>
  <mergeCells count="1">
    <mergeCell ref="B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8"/>
  <sheetViews>
    <sheetView showGridLines="0" topLeftCell="A11" zoomScale="110" zoomScaleNormal="110" workbookViewId="0">
      <selection activeCell="O6" sqref="O6"/>
    </sheetView>
  </sheetViews>
  <sheetFormatPr defaultRowHeight="15"/>
  <cols>
    <col min="1" max="1" width="4.28515625" customWidth="1"/>
    <col min="2" max="2" width="24.85546875" customWidth="1"/>
    <col min="3" max="4" width="2.7109375" customWidth="1"/>
    <col min="5" max="5" width="14.85546875" customWidth="1"/>
    <col min="6" max="9" width="0" hidden="1" customWidth="1"/>
    <col min="12" max="12" width="17.140625" customWidth="1"/>
  </cols>
  <sheetData>
    <row r="1" spans="2:12" ht="18.75">
      <c r="B1" s="2" t="s">
        <v>226</v>
      </c>
      <c r="C1" t="s">
        <v>229</v>
      </c>
    </row>
    <row r="2" spans="2:12">
      <c r="F2" s="68" t="str">
        <f>'Income Statement'!F2</f>
        <v>FY19 A</v>
      </c>
      <c r="G2" s="68" t="str">
        <f>'Income Statement'!G2</f>
        <v>FY20 A</v>
      </c>
      <c r="H2" s="68" t="str">
        <f>'Income Statement'!H2</f>
        <v>FY21 A</v>
      </c>
      <c r="I2" s="68" t="str">
        <f>'Income Statement'!I2</f>
        <v>FY22 A</v>
      </c>
    </row>
    <row r="3" spans="2:12">
      <c r="B3" t="s">
        <v>228</v>
      </c>
      <c r="E3" s="27">
        <v>7.3300000000000004E-2</v>
      </c>
    </row>
    <row r="4" spans="2:12">
      <c r="B4" t="s">
        <v>230</v>
      </c>
      <c r="E4">
        <f>[2]Beta!$D$5</f>
        <v>0.3570580944210015</v>
      </c>
    </row>
    <row r="5" spans="2:12">
      <c r="B5" t="s">
        <v>231</v>
      </c>
      <c r="E5" s="49">
        <v>0.1517</v>
      </c>
    </row>
    <row r="6" spans="2:12">
      <c r="B6" t="s">
        <v>227</v>
      </c>
      <c r="E6" s="27">
        <f>E3+(E4*(E5-E3))</f>
        <v>0.10129335460260652</v>
      </c>
    </row>
    <row r="7" spans="2:12">
      <c r="B7" t="s">
        <v>233</v>
      </c>
      <c r="C7" t="s">
        <v>237</v>
      </c>
      <c r="E7" s="26">
        <v>0.1</v>
      </c>
    </row>
    <row r="8" spans="2:12">
      <c r="B8" t="s">
        <v>234</v>
      </c>
      <c r="E8" s="27">
        <v>0.25</v>
      </c>
    </row>
    <row r="9" spans="2:12">
      <c r="B9" t="s">
        <v>235</v>
      </c>
      <c r="E9" s="27">
        <v>0</v>
      </c>
    </row>
    <row r="10" spans="2:12">
      <c r="B10" t="s">
        <v>236</v>
      </c>
      <c r="E10" s="49">
        <v>0.04</v>
      </c>
    </row>
    <row r="11" spans="2:12">
      <c r="B11" t="s">
        <v>238</v>
      </c>
      <c r="E11" s="49">
        <f>E7*(1-E8)*E9+E6*(1-E9)</f>
        <v>0.10129335460260652</v>
      </c>
    </row>
    <row r="13" spans="2:12">
      <c r="J13" s="74" t="str">
        <f>'Income Statement'!J2</f>
        <v>FY23 E</v>
      </c>
      <c r="K13" s="74" t="str">
        <f>'Income Statement'!K2</f>
        <v>FY24 E</v>
      </c>
      <c r="L13" s="76" t="s">
        <v>239</v>
      </c>
    </row>
    <row r="14" spans="2:12">
      <c r="B14" s="4" t="s">
        <v>232</v>
      </c>
      <c r="E14" s="6"/>
      <c r="F14" s="6">
        <f>'Cashflow statement'!F30+(-'Cashflow statement'!F56*(1-0.34))-ABS('Cashflow statement'!F33)</f>
        <v>45.098099999999974</v>
      </c>
      <c r="G14" s="6">
        <f>'Cashflow statement'!G30+(-'Cashflow statement'!G56*(1-0.34))-ABS('Cashflow statement'!G33)</f>
        <v>79.613360000000029</v>
      </c>
      <c r="H14" s="6">
        <f>'Cashflow statement'!H30+(-'Cashflow statement'!H56*(1-0.34))-ABS('Cashflow statement'!H33)</f>
        <v>194.94101999999987</v>
      </c>
      <c r="I14" s="6">
        <f>'Cashflow statement'!I30+(-'Cashflow statement'!I56*(1-0.34))-ABS('Cashflow statement'!I33)</f>
        <v>103.08263999999944</v>
      </c>
      <c r="J14" s="75">
        <f>'Cashflow statement'!J30+(-'Cashflow statement'!J56*(1-0.34))-ABS('Cashflow statement'!J33)</f>
        <v>142.6319303701116</v>
      </c>
      <c r="K14" s="75">
        <f>'Cashflow statement'!K30+(-'Cashflow statement'!K56*(1-0.34))-ABS('Cashflow statement'!K33)</f>
        <v>176.16624985493712</v>
      </c>
      <c r="L14" s="75">
        <f>K14*(1+E10)/(E11-E10)</f>
        <v>2989.1152317733217</v>
      </c>
    </row>
    <row r="15" spans="2:12">
      <c r="B15" s="4" t="s">
        <v>240</v>
      </c>
      <c r="E15" s="6"/>
      <c r="F15" s="6"/>
      <c r="G15" s="6"/>
      <c r="H15" s="6"/>
      <c r="I15" s="6"/>
      <c r="J15" s="70">
        <f>1/(1+E11)^(1/4)</f>
        <v>0.97616727736897191</v>
      </c>
      <c r="K15" s="70">
        <f>1/(1+E11)^(5/4)</f>
        <v>0.88638260940130209</v>
      </c>
      <c r="L15" s="70">
        <f>K15</f>
        <v>0.88638260940130209</v>
      </c>
    </row>
    <row r="16" spans="2:12">
      <c r="B16" s="4" t="s">
        <v>241</v>
      </c>
      <c r="E16" s="6"/>
      <c r="F16" s="6"/>
      <c r="G16" s="6"/>
      <c r="H16" s="6"/>
      <c r="I16" s="6"/>
      <c r="J16" s="70">
        <f>J14*J15</f>
        <v>139.23262313527263</v>
      </c>
      <c r="K16" s="70">
        <f t="shared" ref="K16:L16" si="0">K14*K15</f>
        <v>156.15070023486092</v>
      </c>
      <c r="L16" s="70">
        <f t="shared" si="0"/>
        <v>2649.4997589404147</v>
      </c>
    </row>
    <row r="19" spans="2:5">
      <c r="B19" s="69" t="s">
        <v>242</v>
      </c>
      <c r="E19" s="6">
        <f>SUM(J16:L16)</f>
        <v>2944.8830823105482</v>
      </c>
    </row>
    <row r="20" spans="2:5">
      <c r="B20" s="69" t="s">
        <v>243</v>
      </c>
      <c r="E20">
        <v>0</v>
      </c>
    </row>
    <row r="21" spans="2:5">
      <c r="B21" s="69" t="s">
        <v>244</v>
      </c>
      <c r="E21" s="6">
        <f>'Balance sheet'!I27+'Balance sheet'!I28</f>
        <v>131.84900000000002</v>
      </c>
    </row>
    <row r="22" spans="2:5">
      <c r="B22" s="69" t="s">
        <v>245</v>
      </c>
      <c r="E22" s="6">
        <f>SUM(E19:E21)</f>
        <v>3076.7320823105483</v>
      </c>
    </row>
    <row r="23" spans="2:5">
      <c r="B23" s="69" t="s">
        <v>246</v>
      </c>
      <c r="E23" s="6">
        <f>'Balance sheet'!I38</f>
        <v>59.492999999999995</v>
      </c>
    </row>
    <row r="24" spans="2:5">
      <c r="B24" s="69" t="s">
        <v>247</v>
      </c>
      <c r="E24">
        <v>10</v>
      </c>
    </row>
    <row r="25" spans="2:5" ht="15.75">
      <c r="B25" s="69" t="s">
        <v>248</v>
      </c>
      <c r="E25" s="72">
        <v>59492735</v>
      </c>
    </row>
    <row r="26" spans="2:5">
      <c r="B26" s="71" t="s">
        <v>249</v>
      </c>
      <c r="E26" s="17">
        <f>(E22*10^7)/E25</f>
        <v>517.16097474936203</v>
      </c>
    </row>
    <row r="28" spans="2:5">
      <c r="B28" s="73">
        <f>DATE(2023,1,3)</f>
        <v>44929</v>
      </c>
      <c r="E28" s="4">
        <v>506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showGridLines="0" topLeftCell="A16" zoomScale="90" zoomScaleNormal="90" workbookViewId="0">
      <selection activeCell="B39" sqref="B39"/>
    </sheetView>
  </sheetViews>
  <sheetFormatPr defaultRowHeight="15.75"/>
  <cols>
    <col min="1" max="1" width="9.140625" style="34"/>
    <col min="2" max="2" width="14.85546875" style="34" bestFit="1" customWidth="1"/>
    <col min="3" max="16384" width="9.140625" style="34"/>
  </cols>
  <sheetData>
    <row r="1" spans="1:20">
      <c r="A1" s="30" t="s">
        <v>78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1:20" ht="18" customHeight="1">
      <c r="A2" s="30" t="s">
        <v>79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spans="1:20" ht="19.5" customHeight="1">
      <c r="A3" s="30" t="s">
        <v>80</v>
      </c>
    </row>
    <row r="4" spans="1:20">
      <c r="A4" s="30" t="s">
        <v>81</v>
      </c>
    </row>
    <row r="5" spans="1:20">
      <c r="A5" s="30" t="s">
        <v>82</v>
      </c>
    </row>
    <row r="6" spans="1:20">
      <c r="A6" s="33" t="s">
        <v>83</v>
      </c>
    </row>
    <row r="7" spans="1:20">
      <c r="A7" s="34" t="s">
        <v>84</v>
      </c>
    </row>
    <row r="8" spans="1:20">
      <c r="A8" s="30" t="s">
        <v>85</v>
      </c>
    </row>
    <row r="9" spans="1:20">
      <c r="A9" s="32" t="s">
        <v>86</v>
      </c>
    </row>
    <row r="10" spans="1:20">
      <c r="A10" s="33" t="s">
        <v>95</v>
      </c>
    </row>
    <row r="11" spans="1:20">
      <c r="A11" s="32" t="s">
        <v>87</v>
      </c>
    </row>
    <row r="13" spans="1:20">
      <c r="A13" s="34" t="s">
        <v>88</v>
      </c>
    </row>
    <row r="15" spans="1:20">
      <c r="A15" s="33" t="s">
        <v>89</v>
      </c>
    </row>
    <row r="16" spans="1:20">
      <c r="A16" s="33" t="s">
        <v>90</v>
      </c>
    </row>
    <row r="17" spans="1:1">
      <c r="A17" s="30" t="s">
        <v>91</v>
      </c>
    </row>
    <row r="18" spans="1:1">
      <c r="A18" s="30" t="s">
        <v>92</v>
      </c>
    </row>
    <row r="19" spans="1:1">
      <c r="A19" s="30" t="s">
        <v>94</v>
      </c>
    </row>
    <row r="20" spans="1:1">
      <c r="A20" s="30" t="s">
        <v>93</v>
      </c>
    </row>
    <row r="21" spans="1:1" ht="23.25">
      <c r="A21" s="29" t="s">
        <v>96</v>
      </c>
    </row>
    <row r="22" spans="1:1">
      <c r="A22" s="32" t="s">
        <v>97</v>
      </c>
    </row>
    <row r="23" spans="1:1" ht="23.25">
      <c r="A23" s="31" t="s">
        <v>98</v>
      </c>
    </row>
    <row r="24" spans="1:1">
      <c r="A24" s="34" t="s">
        <v>99</v>
      </c>
    </row>
    <row r="26" spans="1:1" ht="23.25">
      <c r="A26" s="29" t="s">
        <v>100</v>
      </c>
    </row>
    <row r="28" spans="1:1">
      <c r="A28" s="34" t="s">
        <v>101</v>
      </c>
    </row>
    <row r="29" spans="1:1">
      <c r="A29" s="34" t="s">
        <v>102</v>
      </c>
    </row>
    <row r="30" spans="1:1">
      <c r="A30" s="34" t="s">
        <v>103</v>
      </c>
    </row>
    <row r="31" spans="1:1">
      <c r="A31" s="34" t="s">
        <v>104</v>
      </c>
    </row>
    <row r="32" spans="1:1">
      <c r="A32" s="34" t="s">
        <v>105</v>
      </c>
    </row>
    <row r="35" spans="1:2">
      <c r="A35" s="34" t="s">
        <v>109</v>
      </c>
    </row>
    <row r="36" spans="1:2">
      <c r="A36" s="34" t="s">
        <v>110</v>
      </c>
    </row>
    <row r="37" spans="1:2">
      <c r="A37" s="34" t="s">
        <v>111</v>
      </c>
    </row>
    <row r="39" spans="1:2">
      <c r="A39" s="34" t="s">
        <v>220</v>
      </c>
      <c r="B39" s="52">
        <v>59492735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showGridLines="0" workbookViewId="0">
      <pane xSplit="3" ySplit="2" topLeftCell="D3" activePane="bottomRight" state="frozen"/>
      <selection activeCell="F44" sqref="F44"/>
      <selection pane="topRight" activeCell="F44" sqref="F44"/>
      <selection pane="bottomLeft" activeCell="F44" sqref="F44"/>
      <selection pane="bottomRight" activeCell="J12" sqref="J12:K12"/>
    </sheetView>
  </sheetViews>
  <sheetFormatPr defaultRowHeight="15"/>
  <cols>
    <col min="1" max="1" width="4.28515625" style="4" customWidth="1"/>
    <col min="2" max="2" width="4.28515625" customWidth="1"/>
    <col min="3" max="3" width="42.140625" customWidth="1"/>
    <col min="4" max="4" width="3.7109375" customWidth="1"/>
    <col min="6" max="11" width="9.140625" style="26"/>
  </cols>
  <sheetData>
    <row r="1" spans="1:11" ht="18.75">
      <c r="A1" s="2" t="s">
        <v>10</v>
      </c>
      <c r="F1"/>
      <c r="G1"/>
      <c r="H1"/>
      <c r="I1"/>
      <c r="J1"/>
      <c r="K1"/>
    </row>
    <row r="2" spans="1:11">
      <c r="A2" s="1" t="s">
        <v>1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1">
      <c r="F3"/>
      <c r="G3"/>
      <c r="H3"/>
      <c r="I3"/>
      <c r="J3"/>
      <c r="K3"/>
    </row>
    <row r="4" spans="1:11">
      <c r="A4" s="4" t="s">
        <v>76</v>
      </c>
      <c r="F4"/>
      <c r="G4"/>
      <c r="H4"/>
      <c r="I4"/>
      <c r="J4"/>
      <c r="K4"/>
    </row>
    <row r="5" spans="1:11">
      <c r="F5"/>
      <c r="G5"/>
      <c r="H5"/>
      <c r="I5"/>
      <c r="J5"/>
      <c r="K5"/>
    </row>
    <row r="6" spans="1:11">
      <c r="B6" t="s">
        <v>77</v>
      </c>
      <c r="D6" t="s">
        <v>225</v>
      </c>
      <c r="F6" s="27">
        <f>('Income Statement'!F5/'Income Statement'!E5)-1</f>
        <v>6.3627532655338825E-2</v>
      </c>
      <c r="G6" s="28">
        <f>('Income Statement'!G5/'Income Statement'!F5)-1</f>
        <v>0.26464925550032437</v>
      </c>
      <c r="H6" s="27">
        <f>('Income Statement'!H5/'Income Statement'!G5)-1</f>
        <v>-9.1319746486470565E-2</v>
      </c>
      <c r="I6" s="27">
        <f>('Income Statement'!I5/'Income Statement'!H5)-1</f>
        <v>0.15398357823998454</v>
      </c>
      <c r="J6" s="27">
        <v>0.14000000000000001</v>
      </c>
      <c r="K6" s="27">
        <v>0.13</v>
      </c>
    </row>
    <row r="7" spans="1:11">
      <c r="B7" t="str">
        <f>'Income Statement'!B6 &amp; " as a % of sales"</f>
        <v>Other income as a % of sales</v>
      </c>
      <c r="D7" t="s">
        <v>107</v>
      </c>
      <c r="F7" s="27">
        <f>'Income Statement'!F6/'Income Statement'!F5</f>
        <v>4.6025443451541753E-3</v>
      </c>
      <c r="G7" s="27">
        <f>'Income Statement'!G6/'Income Statement'!G5</f>
        <v>2.933569788905441E-3</v>
      </c>
      <c r="H7" s="27">
        <f>'Income Statement'!H6/'Income Statement'!H5</f>
        <v>3.2757100543928364E-3</v>
      </c>
      <c r="I7" s="27">
        <f>'Income Statement'!I6/'Income Statement'!I5</f>
        <v>6.108272847182631E-3</v>
      </c>
      <c r="J7" s="27">
        <f>AVERAGE(F7:I7)</f>
        <v>4.2300242589087709E-3</v>
      </c>
      <c r="K7" s="27">
        <f>AVERAGE(G7:J7)</f>
        <v>4.1368942373474198E-3</v>
      </c>
    </row>
    <row r="8" spans="1:11">
      <c r="F8" s="27"/>
      <c r="G8" s="27"/>
      <c r="H8" s="27"/>
      <c r="I8" s="27"/>
      <c r="J8" s="27"/>
      <c r="K8" s="27"/>
    </row>
    <row r="9" spans="1:11">
      <c r="B9" t="str">
        <f>'Income Statement'!B10&amp;" as a % of sales"</f>
        <v>Cost of materials consumed as a % of sales</v>
      </c>
      <c r="D9" t="s">
        <v>107</v>
      </c>
      <c r="F9" s="27">
        <f>'Income Statement'!F10/'Income Statement'!F5</f>
        <v>0.73448887580519395</v>
      </c>
      <c r="G9" s="27">
        <f>'Income Statement'!G10/'Income Statement'!G5</f>
        <v>0.7399724124778615</v>
      </c>
      <c r="H9" s="27">
        <f>'Income Statement'!H10/'Income Statement'!H5</f>
        <v>0.70277560871725708</v>
      </c>
      <c r="I9" s="27">
        <f>'Income Statement'!I10/'Income Statement'!I5</f>
        <v>0.72542103308844685</v>
      </c>
      <c r="J9" s="27">
        <f t="shared" ref="J9:K11" si="0">AVERAGE(F9:I9)</f>
        <v>0.72566448252218985</v>
      </c>
      <c r="K9" s="27">
        <f t="shared" si="0"/>
        <v>0.72345838420143882</v>
      </c>
    </row>
    <row r="10" spans="1:11">
      <c r="B10" s="10" t="str">
        <f>'Income Statement'!B11 &amp;" as a % of sales"</f>
        <v>Changes in inventories of finished goods, stock in trade and WIP as a % of sales</v>
      </c>
      <c r="D10" t="s">
        <v>107</v>
      </c>
      <c r="F10" s="27">
        <f>'Income Statement'!F11/'Income Statement'!F5</f>
        <v>8.3195747641535926E-3</v>
      </c>
      <c r="G10" s="27">
        <f>'Income Statement'!G11/'Income Statement'!G5</f>
        <v>2.6877501024832974E-2</v>
      </c>
      <c r="H10" s="27">
        <f>'Income Statement'!H11/'Income Statement'!H5</f>
        <v>-7.8538852246340801E-3</v>
      </c>
      <c r="I10" s="27">
        <f>'Income Statement'!I11/'Income Statement'!I5</f>
        <v>-5.3714287242611627E-4</v>
      </c>
      <c r="J10" s="27">
        <f t="shared" si="0"/>
        <v>6.7015119229815925E-3</v>
      </c>
      <c r="K10" s="27">
        <f t="shared" si="0"/>
        <v>6.2969962126885933E-3</v>
      </c>
    </row>
    <row r="11" spans="1:11">
      <c r="B11" t="str">
        <f>'Income Statement'!B12 &amp;" as a % of sales"</f>
        <v>Employee benefits expense as a % of sales</v>
      </c>
      <c r="D11" t="s">
        <v>107</v>
      </c>
      <c r="F11" s="27">
        <f>'Income Statement'!F12/'Income Statement'!F5</f>
        <v>4.5316677632142859E-2</v>
      </c>
      <c r="G11" s="27">
        <f>'Income Statement'!G12/'Income Statement'!G5</f>
        <v>4.258958115298267E-2</v>
      </c>
      <c r="H11" s="27">
        <f>'Income Statement'!H12/'Income Statement'!H5</f>
        <v>4.6192758664325109E-2</v>
      </c>
      <c r="I11" s="27">
        <f>'Income Statement'!I12/'Income Statement'!I5</f>
        <v>4.5653132300741181E-2</v>
      </c>
      <c r="J11" s="27">
        <f t="shared" si="0"/>
        <v>4.4938037437547956E-2</v>
      </c>
      <c r="K11" s="27">
        <f t="shared" si="0"/>
        <v>4.4843377388899229E-2</v>
      </c>
    </row>
    <row r="12" spans="1:11">
      <c r="B12" t="str">
        <f>'Income Statement'!B13</f>
        <v>Finance costs</v>
      </c>
      <c r="D12" t="s">
        <v>225</v>
      </c>
      <c r="F12" s="27">
        <f>'Income Statement'!E13/'Income Statement'!E5</f>
        <v>6.8470111130322711E-3</v>
      </c>
      <c r="G12" s="27">
        <f>'Income Statement'!F13/'Income Statement'!F5</f>
        <v>6.8364276074631448E-3</v>
      </c>
      <c r="H12" s="27">
        <f>'Income Statement'!G13/'Income Statement'!G5</f>
        <v>7.5437990476648993E-3</v>
      </c>
      <c r="I12" s="27">
        <f>'Income Statement'!H13/'Income Statement'!H5</f>
        <v>6.1172650701695362E-3</v>
      </c>
      <c r="J12" s="27">
        <v>5.4999999999999997E-3</v>
      </c>
      <c r="K12" s="27">
        <v>5.4999999999999997E-3</v>
      </c>
    </row>
    <row r="13" spans="1:11">
      <c r="B13" t="str">
        <f>'Income Statement'!B15 &amp;" as a % of sales"</f>
        <v>Other expenses as a % of sales</v>
      </c>
      <c r="D13" t="s">
        <v>107</v>
      </c>
      <c r="F13" s="27">
        <f>'Income Statement'!F15/'Income Statement'!F5</f>
        <v>0.13257349381352071</v>
      </c>
      <c r="G13" s="27">
        <f>'Income Statement'!G15/'Income Statement'!G5</f>
        <v>0.12468793426859179</v>
      </c>
      <c r="H13" s="27">
        <f>'Income Statement'!H15/'Income Statement'!H5</f>
        <v>0.13416007975284025</v>
      </c>
      <c r="I13" s="27">
        <f>'Income Statement'!I15/'Income Statement'!I5</f>
        <v>0.13552850178148673</v>
      </c>
      <c r="J13" s="27">
        <f t="shared" ref="J13:K15" si="1">AVERAGE(F13:I13)</f>
        <v>0.13173750240410986</v>
      </c>
      <c r="K13" s="27">
        <f t="shared" si="1"/>
        <v>0.13152850455175716</v>
      </c>
    </row>
    <row r="14" spans="1:11">
      <c r="B14" t="str">
        <f>'Income Statement'!B21 &amp; " as a % of PBT"</f>
        <v>Current tax as a % of PBT</v>
      </c>
      <c r="F14" s="27">
        <f>'Income Statement'!F21/'Income Statement'!F18</f>
        <v>0.25530660377358499</v>
      </c>
      <c r="G14" s="27">
        <f>'Income Statement'!G21/'Income Statement'!G18</f>
        <v>0.25815001648935487</v>
      </c>
      <c r="H14" s="27">
        <f>'Income Statement'!H21/'Income Statement'!H18</f>
        <v>0.27669480603170526</v>
      </c>
      <c r="I14" s="27">
        <f>'Income Statement'!I21/'Income Statement'!I18</f>
        <v>0.26250906015945963</v>
      </c>
      <c r="J14" s="27">
        <f t="shared" si="1"/>
        <v>0.26316512161352618</v>
      </c>
      <c r="K14" s="27">
        <f t="shared" si="1"/>
        <v>0.2651297510735115</v>
      </c>
    </row>
    <row r="15" spans="1:11">
      <c r="B15" t="str">
        <f>'Income Statement'!B22 &amp; " as a % of PBT"</f>
        <v>Deferred tax as a % of PBT</v>
      </c>
      <c r="F15" s="27">
        <f>'Income Statement'!E22/'Income Statement'!E18</f>
        <v>6.1934361014420819E-2</v>
      </c>
      <c r="G15" s="27">
        <f>'Income Statement'!F22/'Income Statement'!F18</f>
        <v>7.1858919382504313E-2</v>
      </c>
      <c r="H15" s="27">
        <f>'Income Statement'!G22/'Income Statement'!G18</f>
        <v>0.13270877355840272</v>
      </c>
      <c r="I15" s="27">
        <f>'Income Statement'!H22/'Income Statement'!H18</f>
        <v>4.6832710400824873E-2</v>
      </c>
      <c r="J15" s="27">
        <f t="shared" si="1"/>
        <v>7.8333691089038177E-2</v>
      </c>
      <c r="K15" s="27">
        <f t="shared" si="1"/>
        <v>8.2433523607692516E-2</v>
      </c>
    </row>
    <row r="16" spans="1:11">
      <c r="F16" s="27"/>
      <c r="G16" s="27"/>
      <c r="H16" s="27"/>
      <c r="I16" s="27"/>
      <c r="J16" s="27"/>
      <c r="K16" s="27"/>
    </row>
    <row r="17" spans="1:11">
      <c r="A17" s="4" t="s">
        <v>108</v>
      </c>
      <c r="F17" s="27"/>
      <c r="G17" s="27"/>
      <c r="H17" s="27"/>
      <c r="I17" s="27"/>
      <c r="J17" s="27"/>
      <c r="K17" s="27"/>
    </row>
    <row r="18" spans="1:11">
      <c r="A18" s="4" t="s">
        <v>11</v>
      </c>
      <c r="F18" s="27"/>
      <c r="G18" s="27"/>
      <c r="H18" s="27"/>
      <c r="I18" s="27"/>
      <c r="J18" s="27"/>
      <c r="K18" s="27"/>
    </row>
    <row r="19" spans="1:11">
      <c r="B19" s="4" t="s">
        <v>221</v>
      </c>
      <c r="F19" s="27"/>
      <c r="G19" s="27"/>
      <c r="H19" s="27"/>
      <c r="I19" s="27"/>
      <c r="J19" s="27"/>
      <c r="K19" s="27"/>
    </row>
    <row r="20" spans="1:11">
      <c r="B20" t="str">
        <f>'Balance sheet'!B9 &amp; " as a % of net block"</f>
        <v>Other intangible assets as a % of net block</v>
      </c>
      <c r="D20" t="s">
        <v>216</v>
      </c>
      <c r="F20" s="27">
        <f>'Balance sheet'!F9/'Balance sheet'!F6</f>
        <v>2.9632108802525012E-2</v>
      </c>
      <c r="G20" s="27">
        <f>'Balance sheet'!G9/'Balance sheet'!G6</f>
        <v>2.0457759475140069E-2</v>
      </c>
      <c r="H20" s="27">
        <f>'Balance sheet'!H9/'Balance sheet'!H6</f>
        <v>1.311809514200676E-2</v>
      </c>
      <c r="I20" s="27">
        <f>'Balance sheet'!I9/'Balance sheet'!I6</f>
        <v>8.3715224602532237E-3</v>
      </c>
      <c r="J20" s="27">
        <f>AVERAGE(F20:I20)</f>
        <v>1.7894871469981269E-2</v>
      </c>
      <c r="K20" s="27">
        <f>AVERAGE(G20:J20)</f>
        <v>1.496056213684533E-2</v>
      </c>
    </row>
    <row r="21" spans="1:11">
      <c r="B21" t="str">
        <f>'Balance sheet'!C11 &amp; " as a % of net block"</f>
        <v>Matured biological assets as a % of net block</v>
      </c>
      <c r="F21" s="27">
        <f>'Balance sheet'!F11/'Balance sheet'!F6</f>
        <v>4.5659469020271921E-3</v>
      </c>
      <c r="G21" s="27">
        <f>'Balance sheet'!G11/'Balance sheet'!G6</f>
        <v>4.1284612928242327E-3</v>
      </c>
      <c r="H21" s="27">
        <f>'Balance sheet'!H11/'Balance sheet'!H6</f>
        <v>3.7633052514755585E-3</v>
      </c>
      <c r="I21" s="27">
        <f>'Balance sheet'!I11/'Balance sheet'!I6</f>
        <v>3.109478085167091E-3</v>
      </c>
      <c r="J21" s="27">
        <f t="shared" ref="J21:K21" si="2">AVERAGE(F21:I21)</f>
        <v>3.8917978828735184E-3</v>
      </c>
      <c r="K21" s="27">
        <f t="shared" si="2"/>
        <v>3.7232606280850999E-3</v>
      </c>
    </row>
    <row r="22" spans="1:11">
      <c r="B22" t="str">
        <f>'Balance sheet'!C12  &amp; " as a % of net block"</f>
        <v>Immatured biological assets as a % of net block</v>
      </c>
      <c r="F22" s="27">
        <f>'Balance sheet'!F12/'Balance sheet'!F6</f>
        <v>1.418546610338545E-3</v>
      </c>
      <c r="G22" s="27">
        <f>'Balance sheet'!G12/'Balance sheet'!G6</f>
        <v>1.1466796056915122E-3</v>
      </c>
      <c r="H22" s="27">
        <f>'Balance sheet'!H12/'Balance sheet'!H6</f>
        <v>1.6788578923472735E-3</v>
      </c>
      <c r="I22" s="27">
        <f>'Balance sheet'!I12/'Balance sheet'!I6</f>
        <v>1.1529525484327418E-3</v>
      </c>
      <c r="J22" s="27">
        <f t="shared" ref="J22:K25" si="3">AVERAGE(F22:I22)</f>
        <v>1.3492591642025179E-3</v>
      </c>
      <c r="K22" s="27">
        <f t="shared" si="3"/>
        <v>1.3319373026685114E-3</v>
      </c>
    </row>
    <row r="23" spans="1:11">
      <c r="B23" t="str">
        <f>'Balance sheet'!C16 &amp; " as a % of net block"</f>
        <v>Other financial assets as a % of net block</v>
      </c>
      <c r="F23" s="27">
        <f>'Balance sheet'!F16/'Balance sheet'!F6</f>
        <v>1.8828989773165532E-2</v>
      </c>
      <c r="G23" s="27">
        <f>'Balance sheet'!G16/'Balance sheet'!G6</f>
        <v>1.9435493569885252E-2</v>
      </c>
      <c r="H23" s="27">
        <f>'Balance sheet'!H16/'Balance sheet'!H6</f>
        <v>1.9998991070978155E-2</v>
      </c>
      <c r="I23" s="27">
        <f>'Balance sheet'!I16/'Balance sheet'!I6</f>
        <v>2.4340109355802324E-2</v>
      </c>
      <c r="J23" s="27">
        <v>2.4299999999999999E-2</v>
      </c>
      <c r="K23" s="27">
        <v>2.8000000000000001E-2</v>
      </c>
    </row>
    <row r="24" spans="1:11">
      <c r="B24" t="str">
        <f>'Balance sheet'!B18 &amp; " as a % of net block"</f>
        <v>Deferred tax assets as a % of net block</v>
      </c>
      <c r="F24" s="27">
        <f>'Balance sheet'!F18/'Balance sheet'!F6</f>
        <v>6.9154147254004068E-4</v>
      </c>
      <c r="G24" s="27">
        <f>'Balance sheet'!G18/'Balance sheet'!G6</f>
        <v>4.3544795152842226E-5</v>
      </c>
      <c r="H24" s="27">
        <f>'Balance sheet'!H18/'Balance sheet'!H6</f>
        <v>1.4932149523281036E-4</v>
      </c>
      <c r="I24" s="27">
        <f>'Balance sheet'!I18/'Balance sheet'!I6</f>
        <v>6.599391691365861E-5</v>
      </c>
      <c r="J24" s="27">
        <f t="shared" si="3"/>
        <v>2.3760041995983796E-4</v>
      </c>
      <c r="K24" s="27">
        <f t="shared" si="3"/>
        <v>1.2411515681478728E-4</v>
      </c>
    </row>
    <row r="25" spans="1:11">
      <c r="B25" t="str">
        <f>'Balance sheet'!B19 &amp; " as a % of net block"</f>
        <v>Other Non current assets as a % of net block</v>
      </c>
      <c r="F25" s="27">
        <f>'Balance sheet'!F19/'Balance sheet'!F6</f>
        <v>2.4744772434092992E-2</v>
      </c>
      <c r="G25" s="27">
        <f>'Balance sheet'!G19/'Balance sheet'!G6</f>
        <v>1.8324064512650798E-2</v>
      </c>
      <c r="H25" s="27">
        <f>'Balance sheet'!H19/'Balance sheet'!H6</f>
        <v>2.3528224789386067E-3</v>
      </c>
      <c r="I25" s="27">
        <f>'Balance sheet'!I19/'Balance sheet'!I6</f>
        <v>8.6207465464800986E-2</v>
      </c>
      <c r="J25" s="27">
        <f t="shared" si="3"/>
        <v>3.2907281222620849E-2</v>
      </c>
      <c r="K25" s="27">
        <f t="shared" si="3"/>
        <v>3.4947908419752809E-2</v>
      </c>
    </row>
    <row r="26" spans="1:11">
      <c r="B26" s="4" t="s">
        <v>222</v>
      </c>
      <c r="F26" s="27"/>
      <c r="G26" s="27"/>
      <c r="H26" s="27"/>
      <c r="I26" s="27"/>
      <c r="J26" s="27"/>
      <c r="K26" s="27"/>
    </row>
    <row r="27" spans="1:11">
      <c r="B27" t="s">
        <v>218</v>
      </c>
      <c r="F27" s="35">
        <f>'Ratio analysis'!F33/AVERAGE('Balance sheet'!E23:F23)</f>
        <v>10.389439861587421</v>
      </c>
      <c r="G27" s="35">
        <f>'Ratio analysis'!G33/AVERAGE('Balance sheet'!F23:G23)</f>
        <v>13.593385110785519</v>
      </c>
      <c r="H27" s="35">
        <f>'Ratio analysis'!H33/AVERAGE('Balance sheet'!G23:H23)</f>
        <v>13.15663162954951</v>
      </c>
      <c r="I27" s="35">
        <f>'Ratio analysis'!I33/AVERAGE('Balance sheet'!H23:I23)</f>
        <v>15.606745350138381</v>
      </c>
      <c r="J27" s="35">
        <f>365/J28</f>
        <v>12.907434138860076</v>
      </c>
      <c r="K27" s="35">
        <f>365/K28</f>
        <v>13.739940306742122</v>
      </c>
    </row>
    <row r="28" spans="1:11">
      <c r="B28" t="s">
        <v>219</v>
      </c>
      <c r="F28" s="35">
        <f>365/F27</f>
        <v>35.131826629990329</v>
      </c>
      <c r="G28" s="35">
        <f t="shared" ref="G28:I28" si="4">365/G27</f>
        <v>26.851295466527674</v>
      </c>
      <c r="H28" s="35">
        <f t="shared" si="4"/>
        <v>27.74266318897444</v>
      </c>
      <c r="I28" s="35">
        <f t="shared" si="4"/>
        <v>23.387323353537234</v>
      </c>
      <c r="J28" s="35">
        <f>AVERAGE(F28:I28)</f>
        <v>28.278277159757415</v>
      </c>
      <c r="K28" s="35">
        <f>AVERAGE(G28:J28)</f>
        <v>26.564889792199189</v>
      </c>
    </row>
    <row r="29" spans="1:11">
      <c r="B29" t="str">
        <f>'Balance sheet'!C25 &amp; " as a % of net block"</f>
        <v>Investments as a % of net block</v>
      </c>
      <c r="F29" s="27">
        <f>'Balance sheet'!F25/'Balance sheet'!F6</f>
        <v>4.019584809138986E-2</v>
      </c>
      <c r="G29" s="27">
        <f>'Balance sheet'!G25/'Balance sheet'!G6</f>
        <v>2.3891577607192772E-2</v>
      </c>
      <c r="H29" s="27">
        <f>'Balance sheet'!H25/'Balance sheet'!H6</f>
        <v>0.12193512586389547</v>
      </c>
      <c r="I29" s="27">
        <f>'Balance sheet'!I25/'Balance sheet'!I6</f>
        <v>0.2494240089751727</v>
      </c>
      <c r="J29" s="27">
        <f t="shared" ref="J29:K29" si="5">AVERAGE(F29:I29)</f>
        <v>0.1088616401344127</v>
      </c>
      <c r="K29" s="27">
        <f t="shared" si="5"/>
        <v>0.12602808814516842</v>
      </c>
    </row>
    <row r="30" spans="1:11">
      <c r="B30" t="str">
        <f>'Balance sheet'!C26 &amp; " Turnover"</f>
        <v>Trade receivables Turnover</v>
      </c>
      <c r="F30" s="35">
        <f>'Income Statement'!F5/AVERAGE('Balance sheet'!E26:F26)</f>
        <v>309.60340409956075</v>
      </c>
      <c r="G30" s="35">
        <f>'Income Statement'!G5/AVERAGE('Balance sheet'!F26:G26)</f>
        <v>294.55775850199643</v>
      </c>
      <c r="H30" s="35">
        <f>'Income Statement'!H5/AVERAGE('Balance sheet'!G26:H26)</f>
        <v>321.56248449259778</v>
      </c>
      <c r="I30" s="35">
        <f>'Income Statement'!I5/AVERAGE('Balance sheet'!H26:I26)</f>
        <v>464.79871542525638</v>
      </c>
      <c r="J30" s="35">
        <f>365/J31</f>
        <v>336.52632297379716</v>
      </c>
      <c r="K30" s="35">
        <f>365/K31</f>
        <v>344.00493664452995</v>
      </c>
    </row>
    <row r="31" spans="1:11">
      <c r="B31" t="s">
        <v>217</v>
      </c>
      <c r="F31" s="35">
        <f>365/F30</f>
        <v>1.1789276059853175</v>
      </c>
      <c r="G31" s="35">
        <f t="shared" ref="G31:I31" si="6">365/G30</f>
        <v>1.2391457684097162</v>
      </c>
      <c r="H31" s="35">
        <f t="shared" si="6"/>
        <v>1.1350826592098997</v>
      </c>
      <c r="I31" s="35">
        <f t="shared" si="6"/>
        <v>0.78528616342248725</v>
      </c>
      <c r="J31" s="35">
        <f>AVERAGE(F31:I31)</f>
        <v>1.0846105492568552</v>
      </c>
      <c r="K31" s="35">
        <f>AVERAGE(G31:J31)</f>
        <v>1.0610312850747396</v>
      </c>
    </row>
    <row r="32" spans="1:11">
      <c r="B32" t="str">
        <f>'Balance sheet'!C29 &amp; " as a % of net block"</f>
        <v>Loans as a % of net block</v>
      </c>
      <c r="F32" s="27">
        <f>'Balance sheet'!F29/'Balance sheet'!F6</f>
        <v>3.4783206181316854E-2</v>
      </c>
      <c r="G32" s="27">
        <f>'Balance sheet'!G29/'Balance sheet'!G6</f>
        <v>7.7986654557066493E-3</v>
      </c>
      <c r="H32" s="27">
        <f>'Balance sheet'!H29/'Balance sheet'!H6</f>
        <v>7.1452353326943441E-3</v>
      </c>
      <c r="I32" s="27">
        <f>'Balance sheet'!I29/'Balance sheet'!I6</f>
        <v>9.2585583434750456E-4</v>
      </c>
      <c r="J32" s="27">
        <f t="shared" ref="J32:K34" si="7">AVERAGE(F32:I32)</f>
        <v>1.2663240701016338E-2</v>
      </c>
      <c r="K32" s="27">
        <f t="shared" si="7"/>
        <v>7.1332493309412088E-3</v>
      </c>
    </row>
    <row r="33" spans="1:11">
      <c r="B33" t="str">
        <f>'Balance sheet'!C30 &amp; " as a % of net block"</f>
        <v>Other financial assets as a % of net block</v>
      </c>
      <c r="F33" s="27">
        <f>'Balance sheet'!F30/'Balance sheet'!F6</f>
        <v>5.0092427177579862E-4</v>
      </c>
      <c r="G33" s="27">
        <f>'Balance sheet'!G30/'Balance sheet'!G6</f>
        <v>1.3436679647162745E-3</v>
      </c>
      <c r="H33" s="27">
        <f>'Balance sheet'!H30/'Balance sheet'!H6</f>
        <v>7.3046461181455887E-4</v>
      </c>
      <c r="I33" s="27">
        <f>'Balance sheet'!I30/'Balance sheet'!I6</f>
        <v>1.039404191390123E-2</v>
      </c>
      <c r="J33" s="27">
        <f t="shared" si="7"/>
        <v>3.2422746905519657E-3</v>
      </c>
      <c r="K33" s="27">
        <f t="shared" si="7"/>
        <v>3.9276122952460069E-3</v>
      </c>
    </row>
    <row r="34" spans="1:11">
      <c r="B34" t="s">
        <v>224</v>
      </c>
      <c r="F34" s="27">
        <f>'Balance sheet'!F31/'Balance sheet'!F6</f>
        <v>4.0532752911345268E-2</v>
      </c>
      <c r="G34" s="27">
        <f>'Balance sheet'!G31/'Balance sheet'!G6</f>
        <v>2.2560351012520165E-2</v>
      </c>
      <c r="H34" s="27">
        <f>'Balance sheet'!H31/'Balance sheet'!H6</f>
        <v>2.4353528729253896E-2</v>
      </c>
      <c r="I34" s="27">
        <f>'Balance sheet'!I31/'Balance sheet'!I6</f>
        <v>2.1634358762342317E-2</v>
      </c>
      <c r="J34" s="27">
        <f t="shared" si="7"/>
        <v>2.7270247853865413E-2</v>
      </c>
      <c r="K34" s="27">
        <f t="shared" si="7"/>
        <v>2.3954621589495448E-2</v>
      </c>
    </row>
    <row r="36" spans="1:11">
      <c r="A36" s="4" t="s">
        <v>41</v>
      </c>
    </row>
    <row r="37" spans="1:11">
      <c r="B37" s="4" t="s">
        <v>221</v>
      </c>
    </row>
    <row r="38" spans="1:11">
      <c r="B38" t="str">
        <f>'Balance sheet'!C46 &amp; " as a % of Net Block"</f>
        <v>lease liabilities as a % of Net Block</v>
      </c>
      <c r="F38" s="27">
        <f>'Balance sheet'!F46/'Balance sheet'!F6</f>
        <v>1.6956064951702921E-2</v>
      </c>
      <c r="G38" s="27">
        <f>'Balance sheet'!G46/'Balance sheet'!G6</f>
        <v>1.4658007473116273E-2</v>
      </c>
      <c r="H38" s="27">
        <f>'Balance sheet'!H46/'Balance sheet'!H6</f>
        <v>2.0051455380114012E-2</v>
      </c>
      <c r="I38" s="27">
        <f>'Balance sheet'!I46/'Balance sheet'!I6</f>
        <v>1.908388797338504E-2</v>
      </c>
      <c r="J38" s="27">
        <f t="shared" ref="J38:K40" si="8">AVERAGE(F38:I38)</f>
        <v>1.7687353944579563E-2</v>
      </c>
      <c r="K38" s="27">
        <f t="shared" si="8"/>
        <v>1.7870176192798723E-2</v>
      </c>
    </row>
    <row r="39" spans="1:11">
      <c r="B39" t="str">
        <f>'Balance sheet'!B47 &amp; " as a % of net block"</f>
        <v>Provisions as a % of net block</v>
      </c>
      <c r="F39" s="27">
        <f>'Balance sheet'!F47/'Balance sheet'!F6</f>
        <v>1.4407114011250848E-2</v>
      </c>
      <c r="G39" s="27">
        <f>'Balance sheet'!G47/'Balance sheet'!G6</f>
        <v>1.9680173847410744E-2</v>
      </c>
      <c r="H39" s="27">
        <f>'Balance sheet'!H47/'Balance sheet'!H6</f>
        <v>9.1752005246430915E-2</v>
      </c>
      <c r="I39" s="27">
        <f>'Balance sheet'!I47/'Balance sheet'!I6</f>
        <v>2.1108348424589335E-2</v>
      </c>
      <c r="J39" s="27">
        <f t="shared" si="8"/>
        <v>3.6736910382420461E-2</v>
      </c>
      <c r="K39" s="27">
        <f t="shared" si="8"/>
        <v>4.2319359475212863E-2</v>
      </c>
    </row>
    <row r="40" spans="1:11">
      <c r="B40" t="str">
        <f>'Balance sheet'!B48 &amp; " as a % of net block"</f>
        <v>Deferred tax liabilities as a % of net block</v>
      </c>
      <c r="F40" s="27">
        <f>'Balance sheet'!F48/'Balance sheet'!F6</f>
        <v>5.7227273331767019E-2</v>
      </c>
      <c r="G40" s="27">
        <f>'Balance sheet'!G48/'Balance sheet'!G6</f>
        <v>7.5711957400748972E-2</v>
      </c>
      <c r="H40" s="27">
        <f>'Balance sheet'!H48/'Balance sheet'!H6</f>
        <v>5.1556273016193314E-3</v>
      </c>
      <c r="I40" s="27">
        <f>'Balance sheet'!I48/'Balance sheet'!I6</f>
        <v>6.714492846453507E-2</v>
      </c>
      <c r="J40" s="27">
        <f t="shared" si="8"/>
        <v>5.1309946624667598E-2</v>
      </c>
      <c r="K40" s="27">
        <f t="shared" si="8"/>
        <v>4.9830614947892746E-2</v>
      </c>
    </row>
    <row r="41" spans="1:11">
      <c r="B41" s="4" t="s">
        <v>222</v>
      </c>
    </row>
    <row r="42" spans="1:11">
      <c r="B42" t="str">
        <f>'Balance sheet'!C55 &amp; " as a % of net block"</f>
        <v>lease liabilities as a % of net block</v>
      </c>
      <c r="F42" s="27">
        <f>'Balance sheet'!F55/'Balance sheet'!F6</f>
        <v>3.202812268654996E-3</v>
      </c>
      <c r="G42" s="27">
        <f>'Balance sheet'!G55/'Balance sheet'!G6</f>
        <v>5.4845706275841758E-3</v>
      </c>
      <c r="H42" s="27">
        <f>'Balance sheet'!H55/'Balance sheet'!H6</f>
        <v>3.5554658729758364E-3</v>
      </c>
      <c r="I42" s="27">
        <f>'Balance sheet'!I55/'Balance sheet'!I6</f>
        <v>5.9025735686598774E-3</v>
      </c>
      <c r="J42" s="27">
        <f>AVERAGE(F42:I42)</f>
        <v>4.5363555844687214E-3</v>
      </c>
      <c r="K42" s="27">
        <f>AVERAGE(G42:J42)</f>
        <v>4.8697414134221528E-3</v>
      </c>
    </row>
    <row r="43" spans="1:11">
      <c r="B43" t="str">
        <f>'Balance sheet'!C56&amp;" Turnover"</f>
        <v>Trade payables Turnover</v>
      </c>
      <c r="F43" s="35">
        <f>'Ratio analysis'!F33/AVERAGE('Balance sheet'!E56:F56)</f>
        <v>19.471204302164836</v>
      </c>
      <c r="G43" s="35">
        <f>'Ratio analysis'!G33/AVERAGE('Balance sheet'!F56:G56)</f>
        <v>21.641642083923539</v>
      </c>
      <c r="H43" s="35">
        <f>'Ratio analysis'!H33/AVERAGE('Balance sheet'!G56:H56)</f>
        <v>17.283282833496266</v>
      </c>
      <c r="I43" s="35">
        <f>'Ratio analysis'!I33/AVERAGE('Balance sheet'!H56:I56)</f>
        <v>17.895839053754354</v>
      </c>
      <c r="J43" s="35">
        <f>365/J44</f>
        <v>18.930126455369496</v>
      </c>
      <c r="K43" s="35">
        <f>365/K44</f>
        <v>18.799523265507368</v>
      </c>
    </row>
    <row r="44" spans="1:11">
      <c r="B44" t="s">
        <v>223</v>
      </c>
      <c r="F44" s="35">
        <f>365/F43</f>
        <v>18.74563043639878</v>
      </c>
      <c r="G44" s="35">
        <f t="shared" ref="G44:I44" si="9">365/G43</f>
        <v>16.865633327848986</v>
      </c>
      <c r="H44" s="35">
        <f t="shared" si="9"/>
        <v>21.118673085219857</v>
      </c>
      <c r="I44" s="35">
        <f t="shared" si="9"/>
        <v>20.395802560787274</v>
      </c>
      <c r="J44" s="35">
        <f>AVERAGE(F44:I44)</f>
        <v>19.281434852563724</v>
      </c>
      <c r="K44" s="35">
        <f>AVERAGE(G44:J44)</f>
        <v>19.415385956604961</v>
      </c>
    </row>
    <row r="45" spans="1:11">
      <c r="B45" t="str">
        <f>'Balance sheet'!C57 &amp; " as a % of net block"</f>
        <v>other financial liabilities as a % of net block</v>
      </c>
      <c r="F45" s="27">
        <f>'Balance sheet'!F57/'Balance sheet'!F6</f>
        <v>0.12602013449595048</v>
      </c>
      <c r="G45" s="27">
        <f>'Balance sheet'!G57/'Balance sheet'!G6</f>
        <v>0.12676304581327164</v>
      </c>
      <c r="H45" s="27">
        <f>'Balance sheet'!H57/'Balance sheet'!H6</f>
        <v>0.14627654744488724</v>
      </c>
      <c r="I45" s="27">
        <f>'Balance sheet'!I57/'Balance sheet'!I6</f>
        <v>6.7055642576946003E-2</v>
      </c>
      <c r="J45" s="27">
        <f t="shared" ref="J45:K47" si="10">AVERAGE(F45:I45)</f>
        <v>0.11652884258276384</v>
      </c>
      <c r="K45" s="27">
        <f t="shared" si="10"/>
        <v>0.11415601960446718</v>
      </c>
    </row>
    <row r="46" spans="1:11">
      <c r="B46" t="str">
        <f>'Balance sheet'!B58 &amp; " as a % of net block"</f>
        <v>Other current liabilities as a % of net block</v>
      </c>
      <c r="F46" s="27">
        <f>'Balance sheet'!F58/'Balance sheet'!F6</f>
        <v>1.3196916434305777E-2</v>
      </c>
      <c r="G46" s="27">
        <f>'Balance sheet'!G58/'Balance sheet'!G6</f>
        <v>1.0991950433581745E-2</v>
      </c>
      <c r="H46" s="27">
        <f>'Balance sheet'!H58/'Balance sheet'!H6</f>
        <v>1.3152398728749435E-2</v>
      </c>
      <c r="I46" s="27">
        <f>'Balance sheet'!I58/'Balance sheet'!I6</f>
        <v>2.5658046696519211E-2</v>
      </c>
      <c r="J46" s="27">
        <f t="shared" si="10"/>
        <v>1.5749828073289042E-2</v>
      </c>
      <c r="K46" s="27">
        <f t="shared" si="10"/>
        <v>1.638805598303486E-2</v>
      </c>
    </row>
    <row r="47" spans="1:11">
      <c r="B47" t="str">
        <f>'Balance sheet'!B60 &amp; " as a % of net block"</f>
        <v>Provisions as a % of net block</v>
      </c>
      <c r="F47" s="27">
        <f>'Balance sheet'!F60/'Balance sheet'!F6</f>
        <v>6.1086163407703589E-3</v>
      </c>
      <c r="G47" s="27">
        <f>'Balance sheet'!G60/'Balance sheet'!G6</f>
        <v>5.7976784403498518E-3</v>
      </c>
      <c r="H47" s="27">
        <f>'Balance sheet'!H60/'Balance sheet'!H6</f>
        <v>2.2559652928416486E-2</v>
      </c>
      <c r="I47" s="27">
        <f>'Balance sheet'!I60/'Balance sheet'!I6</f>
        <v>2.663825046244267E-2</v>
      </c>
      <c r="J47" s="27">
        <f t="shared" si="10"/>
        <v>1.5276049542994842E-2</v>
      </c>
      <c r="K47" s="27">
        <f t="shared" si="10"/>
        <v>1.7567907843550962E-2</v>
      </c>
    </row>
  </sheetData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showGridLines="0" workbookViewId="0">
      <pane xSplit="3" ySplit="2" topLeftCell="D12" activePane="bottomRight" state="frozen"/>
      <selection activeCell="F44" sqref="F44"/>
      <selection pane="topRight" activeCell="F44" sqref="F44"/>
      <selection pane="bottomLeft" activeCell="F44" sqref="F44"/>
      <selection pane="bottomRight" activeCell="J25" sqref="J25"/>
    </sheetView>
  </sheetViews>
  <sheetFormatPr defaultRowHeight="15"/>
  <cols>
    <col min="1" max="1" width="4.28515625" style="4" customWidth="1"/>
    <col min="2" max="2" width="4.28515625" customWidth="1"/>
    <col min="3" max="3" width="35.85546875" customWidth="1"/>
    <col min="4" max="4" width="3.7109375" customWidth="1"/>
  </cols>
  <sheetData>
    <row r="1" spans="1:11" ht="18.75">
      <c r="A1" s="2" t="s">
        <v>2</v>
      </c>
    </row>
    <row r="2" spans="1:11">
      <c r="A2" s="1" t="s">
        <v>1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1">
      <c r="A3" s="1"/>
      <c r="E3" s="3"/>
      <c r="F3" s="3"/>
      <c r="G3" s="3"/>
      <c r="H3" s="3"/>
      <c r="I3" s="3"/>
      <c r="J3" s="3"/>
      <c r="K3" s="3"/>
    </row>
    <row r="4" spans="1:11">
      <c r="A4" s="4" t="s">
        <v>59</v>
      </c>
    </row>
    <row r="5" spans="1:11">
      <c r="B5" t="s">
        <v>60</v>
      </c>
      <c r="E5" s="13">
        <v>1590.4749999999999</v>
      </c>
      <c r="F5" s="13">
        <v>1691.673</v>
      </c>
      <c r="G5" s="13">
        <v>2139.373</v>
      </c>
      <c r="H5" s="13">
        <v>1944.0060000000001</v>
      </c>
      <c r="I5" s="13">
        <v>2243.3509999999997</v>
      </c>
      <c r="J5" s="5">
        <f>I5*(1+Assumptions!J6)</f>
        <v>2557.4201399999997</v>
      </c>
      <c r="K5" s="5">
        <f>J5*(1+Assumptions!K6)</f>
        <v>2889.8847581999994</v>
      </c>
    </row>
    <row r="6" spans="1:11">
      <c r="B6" t="s">
        <v>106</v>
      </c>
      <c r="E6" s="13">
        <v>6.5379999999999994</v>
      </c>
      <c r="F6" s="13">
        <v>7.7859999999999996</v>
      </c>
      <c r="G6" s="13">
        <v>6.2759999999999998</v>
      </c>
      <c r="H6" s="13">
        <v>6.3680000000000003</v>
      </c>
      <c r="I6" s="13">
        <v>13.702999999999999</v>
      </c>
      <c r="J6" s="5">
        <f>J5*Assumptions!J7</f>
        <v>10.817949232421864</v>
      </c>
      <c r="K6" s="5">
        <f>K5*Assumptions!K7</f>
        <v>11.955147602795719</v>
      </c>
    </row>
    <row r="7" spans="1:11" s="8" customFormat="1">
      <c r="B7" s="8" t="s">
        <v>62</v>
      </c>
      <c r="E7" s="9">
        <f t="shared" ref="E7:H7" si="0">SUM(E5:E6)</f>
        <v>1597.0129999999999</v>
      </c>
      <c r="F7" s="9">
        <f t="shared" si="0"/>
        <v>1699.4590000000001</v>
      </c>
      <c r="G7" s="9">
        <f t="shared" si="0"/>
        <v>2145.6489999999999</v>
      </c>
      <c r="H7" s="9">
        <f t="shared" si="0"/>
        <v>1950.374</v>
      </c>
      <c r="I7" s="9">
        <f>SUM(I5:I6)</f>
        <v>2257.0539999999996</v>
      </c>
      <c r="J7" s="9">
        <f t="shared" ref="J7:K7" si="1">SUM(J5:J6)</f>
        <v>2568.2380892324218</v>
      </c>
      <c r="K7" s="9">
        <f t="shared" si="1"/>
        <v>2901.8399058027953</v>
      </c>
    </row>
    <row r="8" spans="1:11">
      <c r="E8" s="5"/>
      <c r="F8" s="5"/>
      <c r="G8" s="5"/>
      <c r="H8" s="5"/>
      <c r="I8" s="5"/>
      <c r="J8" s="5"/>
      <c r="K8" s="5"/>
    </row>
    <row r="9" spans="1:11">
      <c r="A9" s="4" t="s">
        <v>61</v>
      </c>
      <c r="E9" s="5"/>
      <c r="F9" s="5"/>
      <c r="G9" s="5"/>
      <c r="H9" s="5"/>
      <c r="I9" s="5"/>
      <c r="J9" s="5"/>
      <c r="K9" s="5"/>
    </row>
    <row r="10" spans="1:11">
      <c r="B10" t="s">
        <v>63</v>
      </c>
      <c r="E10" s="13">
        <v>1274.4259999999999</v>
      </c>
      <c r="F10" s="13">
        <v>1242.5149999999999</v>
      </c>
      <c r="G10" s="13">
        <v>1583.077</v>
      </c>
      <c r="H10" s="13">
        <v>1366.2</v>
      </c>
      <c r="I10" s="13">
        <v>1627.374</v>
      </c>
      <c r="J10" s="5">
        <f>J5*Assumptions!J9</f>
        <v>1855.828962484926</v>
      </c>
      <c r="K10" s="5">
        <f>K5*Assumptions!K9</f>
        <v>2090.7113576957372</v>
      </c>
    </row>
    <row r="11" spans="1:11">
      <c r="B11" s="10" t="s">
        <v>64</v>
      </c>
      <c r="E11" s="13">
        <v>-42.722000000000001</v>
      </c>
      <c r="F11" s="13">
        <v>14.074000000000002</v>
      </c>
      <c r="G11" s="13">
        <v>57.500999999999998</v>
      </c>
      <c r="H11" s="13">
        <v>-15.268000000000001</v>
      </c>
      <c r="I11" s="13">
        <v>-1.2050000000000001</v>
      </c>
      <c r="J11" s="5">
        <f>J5*Assumptions!J10</f>
        <v>17.138581560283253</v>
      </c>
      <c r="K11" s="5">
        <f>K5*Assumptions!K10</f>
        <v>18.197593377491888</v>
      </c>
    </row>
    <row r="12" spans="1:11">
      <c r="B12" t="s">
        <v>65</v>
      </c>
      <c r="E12" s="13">
        <v>64.978999999999999</v>
      </c>
      <c r="F12" s="13">
        <v>76.661000000000001</v>
      </c>
      <c r="G12" s="13">
        <v>91.114999999999995</v>
      </c>
      <c r="H12" s="13">
        <v>89.799000000000007</v>
      </c>
      <c r="I12" s="13">
        <v>102.41600000000001</v>
      </c>
      <c r="J12" s="5">
        <f>J5*Assumptions!J11</f>
        <v>114.92544199485913</v>
      </c>
      <c r="K12" s="5">
        <f>K5*Assumptions!K11</f>
        <v>129.59219282239036</v>
      </c>
    </row>
    <row r="13" spans="1:11">
      <c r="B13" t="s">
        <v>66</v>
      </c>
      <c r="E13" s="13">
        <v>10.89</v>
      </c>
      <c r="F13" s="13">
        <v>11.565000000000001</v>
      </c>
      <c r="G13" s="13">
        <v>16.138999999999999</v>
      </c>
      <c r="H13" s="13">
        <v>11.891999999999999</v>
      </c>
      <c r="I13" s="13">
        <v>6.5180000000000007</v>
      </c>
      <c r="J13" s="5">
        <f>Assumptions!J12*'Income Statement'!J5</f>
        <v>14.065810769999997</v>
      </c>
      <c r="K13" s="5">
        <f>Assumptions!K12*'Income Statement'!K5</f>
        <v>15.894366170099996</v>
      </c>
    </row>
    <row r="14" spans="1:11">
      <c r="B14" t="s">
        <v>67</v>
      </c>
      <c r="E14" s="13">
        <v>27.927</v>
      </c>
      <c r="F14" s="13">
        <v>37.093000000000004</v>
      </c>
      <c r="G14" s="13">
        <v>49.192</v>
      </c>
      <c r="H14" s="13">
        <v>50.726999999999997</v>
      </c>
      <c r="I14" s="13">
        <v>52.352999999999994</v>
      </c>
      <c r="J14" s="5">
        <f>'Asset Schedule'!J11</f>
        <v>55.968116058182574</v>
      </c>
      <c r="K14" s="5">
        <f>'Asset Schedule'!K11</f>
        <v>59.313579594792444</v>
      </c>
    </row>
    <row r="15" spans="1:11">
      <c r="B15" t="s">
        <v>68</v>
      </c>
      <c r="E15" s="13">
        <v>181.07300000000001</v>
      </c>
      <c r="F15" s="13">
        <v>224.27100000000002</v>
      </c>
      <c r="G15" s="13">
        <v>266.75400000000002</v>
      </c>
      <c r="H15" s="13">
        <v>260.80799999999999</v>
      </c>
      <c r="I15" s="13">
        <v>304.03800000000001</v>
      </c>
      <c r="J15" s="5">
        <f>J5*Assumptions!J13</f>
        <v>336.90814184156892</v>
      </c>
      <c r="K15" s="5">
        <f>K5*Assumptions!K13</f>
        <v>380.10222057296227</v>
      </c>
    </row>
    <row r="16" spans="1:11" s="8" customFormat="1">
      <c r="B16" s="8" t="s">
        <v>69</v>
      </c>
      <c r="E16" s="9">
        <f t="shared" ref="E16:K16" si="2">SUM(E10:E15)</f>
        <v>1516.5730000000001</v>
      </c>
      <c r="F16" s="9">
        <f t="shared" si="2"/>
        <v>1606.1790000000001</v>
      </c>
      <c r="G16" s="9">
        <f t="shared" si="2"/>
        <v>2063.7779999999998</v>
      </c>
      <c r="H16" s="9">
        <f t="shared" si="2"/>
        <v>1764.1580000000001</v>
      </c>
      <c r="I16" s="9">
        <f t="shared" si="2"/>
        <v>2091.4940000000001</v>
      </c>
      <c r="J16" s="9">
        <f t="shared" si="2"/>
        <v>2394.8350547098198</v>
      </c>
      <c r="K16" s="9">
        <f t="shared" si="2"/>
        <v>2693.8113102334742</v>
      </c>
    </row>
    <row r="17" spans="1:11">
      <c r="E17" s="5"/>
      <c r="F17" s="5"/>
      <c r="G17" s="5"/>
      <c r="H17" s="5"/>
      <c r="I17" s="5"/>
      <c r="J17" s="5"/>
      <c r="K17" s="5"/>
    </row>
    <row r="18" spans="1:11" s="8" customFormat="1">
      <c r="B18" s="8" t="s">
        <v>70</v>
      </c>
      <c r="E18" s="9">
        <f t="shared" ref="E18:K18" si="3">E7-E16</f>
        <v>80.439999999999827</v>
      </c>
      <c r="F18" s="9">
        <f t="shared" si="3"/>
        <v>93.279999999999973</v>
      </c>
      <c r="G18" s="9">
        <f t="shared" si="3"/>
        <v>81.871000000000095</v>
      </c>
      <c r="H18" s="9">
        <f t="shared" si="3"/>
        <v>186.21599999999989</v>
      </c>
      <c r="I18" s="9">
        <f t="shared" si="3"/>
        <v>165.55999999999949</v>
      </c>
      <c r="J18" s="9">
        <f t="shared" si="3"/>
        <v>173.40303452260196</v>
      </c>
      <c r="K18" s="9">
        <f t="shared" si="3"/>
        <v>208.02859556932117</v>
      </c>
    </row>
    <row r="19" spans="1:11">
      <c r="E19" s="5"/>
      <c r="F19" s="5"/>
      <c r="G19" s="5"/>
      <c r="H19" s="5"/>
      <c r="I19" s="5"/>
      <c r="J19" s="5"/>
      <c r="K19" s="5"/>
    </row>
    <row r="20" spans="1:11">
      <c r="A20" s="4" t="s">
        <v>71</v>
      </c>
      <c r="E20" s="5"/>
      <c r="F20" s="5"/>
      <c r="G20" s="5"/>
      <c r="H20" s="5"/>
      <c r="I20" s="5"/>
      <c r="J20" s="5"/>
      <c r="K20" s="5"/>
    </row>
    <row r="21" spans="1:11">
      <c r="B21" t="s">
        <v>72</v>
      </c>
      <c r="E21" s="13">
        <v>18.603999999999999</v>
      </c>
      <c r="F21" s="13">
        <v>23.815000000000001</v>
      </c>
      <c r="G21" s="13">
        <v>21.134999999999998</v>
      </c>
      <c r="H21" s="13">
        <v>51.524999999999999</v>
      </c>
      <c r="I21" s="13">
        <v>43.460999999999999</v>
      </c>
      <c r="J21" s="5">
        <f>J18*Assumptions!J14</f>
        <v>45.633630668295019</v>
      </c>
      <c r="K21" s="5">
        <f>K18*Assumptions!K14</f>
        <v>55.15456975946632</v>
      </c>
    </row>
    <row r="22" spans="1:11">
      <c r="B22" t="s">
        <v>73</v>
      </c>
      <c r="E22" s="13">
        <v>4.9820000000000002</v>
      </c>
      <c r="F22" s="13">
        <v>6.7030000000000003</v>
      </c>
      <c r="G22" s="13">
        <v>10.865</v>
      </c>
      <c r="H22" s="13">
        <v>8.7210000000000001</v>
      </c>
      <c r="I22" s="13">
        <v>-10.714</v>
      </c>
      <c r="J22" s="5">
        <f>J18*Assumptions!J15</f>
        <v>13.583299740195324</v>
      </c>
      <c r="K22" s="5">
        <f>K18*Assumptions!K15</f>
        <v>17.148530143938757</v>
      </c>
    </row>
    <row r="23" spans="1:11" s="8" customFormat="1">
      <c r="B23" s="8" t="s">
        <v>74</v>
      </c>
      <c r="E23" s="9">
        <f t="shared" ref="E23:H23" si="4">SUM(E21:E22)</f>
        <v>23.585999999999999</v>
      </c>
      <c r="F23" s="9">
        <f t="shared" si="4"/>
        <v>30.518000000000001</v>
      </c>
      <c r="G23" s="9">
        <f t="shared" si="4"/>
        <v>32</v>
      </c>
      <c r="H23" s="9">
        <f t="shared" si="4"/>
        <v>60.245999999999995</v>
      </c>
      <c r="I23" s="9">
        <f>SUM(I21:I22)</f>
        <v>32.747</v>
      </c>
      <c r="J23" s="9">
        <f t="shared" ref="J23:K23" si="5">SUM(J21:J22)</f>
        <v>59.216930408490342</v>
      </c>
      <c r="K23" s="9">
        <f t="shared" si="5"/>
        <v>72.303099903405069</v>
      </c>
    </row>
    <row r="24" spans="1:11">
      <c r="E24" s="5"/>
      <c r="F24" s="5"/>
      <c r="G24" s="5"/>
      <c r="H24" s="5"/>
      <c r="I24" s="5"/>
      <c r="J24" s="51"/>
      <c r="K24" s="51"/>
    </row>
    <row r="25" spans="1:11" s="11" customFormat="1" ht="15.75" thickBot="1">
      <c r="B25" s="11" t="s">
        <v>75</v>
      </c>
      <c r="E25" s="12">
        <f t="shared" ref="E25:H25" si="6">E18-E23</f>
        <v>56.853999999999829</v>
      </c>
      <c r="F25" s="12">
        <f t="shared" si="6"/>
        <v>62.761999999999972</v>
      </c>
      <c r="G25" s="12">
        <f t="shared" si="6"/>
        <v>49.871000000000095</v>
      </c>
      <c r="H25" s="12">
        <f t="shared" si="6"/>
        <v>125.9699999999999</v>
      </c>
      <c r="I25" s="12">
        <f>I18-I23</f>
        <v>132.81299999999948</v>
      </c>
      <c r="J25" s="12">
        <f t="shared" ref="J25:K25" si="7">J18-J23</f>
        <v>114.18610411411161</v>
      </c>
      <c r="K25" s="12">
        <f t="shared" si="7"/>
        <v>135.7254956659161</v>
      </c>
    </row>
    <row r="26" spans="1:11" ht="15.75" thickTop="1"/>
  </sheetData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showGridLines="0" zoomScaleNormal="100" workbookViewId="0">
      <pane xSplit="3" ySplit="2" topLeftCell="D27" activePane="bottomRight" state="frozen"/>
      <selection activeCell="F44" sqref="F44"/>
      <selection pane="topRight" activeCell="F44" sqref="F44"/>
      <selection pane="bottomLeft" activeCell="F44" sqref="F44"/>
      <selection pane="bottomRight" activeCell="I28" sqref="I28"/>
    </sheetView>
  </sheetViews>
  <sheetFormatPr defaultRowHeight="15"/>
  <cols>
    <col min="1" max="2" width="4.28515625" customWidth="1"/>
    <col min="3" max="3" width="35.42578125" customWidth="1"/>
    <col min="4" max="4" width="3.7109375" customWidth="1"/>
    <col min="5" max="8" width="9.28515625" bestFit="1" customWidth="1"/>
    <col min="9" max="9" width="10.140625" bestFit="1" customWidth="1"/>
    <col min="10" max="11" width="9.28515625" bestFit="1" customWidth="1"/>
    <col min="13" max="13" width="10.5703125" bestFit="1" customWidth="1"/>
  </cols>
  <sheetData>
    <row r="1" spans="1:14" ht="18.75">
      <c r="A1" s="2" t="s">
        <v>0</v>
      </c>
    </row>
    <row r="2" spans="1:14">
      <c r="A2" s="1" t="s">
        <v>1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4">
      <c r="A3" s="4"/>
    </row>
    <row r="4" spans="1:14">
      <c r="A4" s="4" t="s">
        <v>11</v>
      </c>
    </row>
    <row r="5" spans="1:14">
      <c r="A5" s="4" t="s">
        <v>29</v>
      </c>
    </row>
    <row r="6" spans="1:14">
      <c r="B6" s="59" t="s">
        <v>12</v>
      </c>
      <c r="C6" s="59"/>
      <c r="E6" s="15">
        <v>326.18799999999999</v>
      </c>
      <c r="F6" s="15">
        <v>451.166</v>
      </c>
      <c r="G6" s="15">
        <v>482.262</v>
      </c>
      <c r="H6" s="15">
        <v>495.57499999999999</v>
      </c>
      <c r="I6" s="15">
        <v>515.19899999999996</v>
      </c>
      <c r="J6" s="5">
        <f>'Asset Schedule'!J15</f>
        <v>519.23088394181741</v>
      </c>
      <c r="K6" s="5">
        <f>'Asset Schedule'!K15</f>
        <v>514.91730434702504</v>
      </c>
      <c r="L6" s="6"/>
    </row>
    <row r="7" spans="1:14">
      <c r="B7" s="59" t="s">
        <v>30</v>
      </c>
      <c r="C7" s="59"/>
      <c r="E7" s="15">
        <v>16.041999999999998</v>
      </c>
      <c r="F7" s="15">
        <v>11.22</v>
      </c>
      <c r="G7" s="15">
        <v>11.244</v>
      </c>
      <c r="H7" s="15">
        <v>8.2829999999999995</v>
      </c>
      <c r="I7" s="15">
        <v>4.0960000000000001</v>
      </c>
      <c r="J7" s="5">
        <f>I7</f>
        <v>4.0960000000000001</v>
      </c>
      <c r="K7" s="5">
        <f>J7</f>
        <v>4.0960000000000001</v>
      </c>
    </row>
    <row r="8" spans="1:14">
      <c r="B8" s="59" t="s">
        <v>13</v>
      </c>
      <c r="C8" s="59"/>
      <c r="E8" s="15">
        <v>0</v>
      </c>
      <c r="F8" s="15">
        <v>35.936999999999998</v>
      </c>
      <c r="G8" s="15">
        <v>44.17</v>
      </c>
      <c r="H8" s="15">
        <v>44.17</v>
      </c>
      <c r="I8" s="15">
        <v>44.17</v>
      </c>
      <c r="J8" s="5">
        <f>I8</f>
        <v>44.17</v>
      </c>
      <c r="K8" s="5">
        <f>J8</f>
        <v>44.17</v>
      </c>
      <c r="N8" s="14"/>
    </row>
    <row r="9" spans="1:14">
      <c r="B9" s="59" t="s">
        <v>14</v>
      </c>
      <c r="C9" s="59"/>
      <c r="E9" s="15">
        <v>0.66100000000000003</v>
      </c>
      <c r="F9" s="15">
        <v>13.369</v>
      </c>
      <c r="G9" s="15">
        <v>9.8659999999999997</v>
      </c>
      <c r="H9" s="15">
        <v>6.5010000000000003</v>
      </c>
      <c r="I9" s="15">
        <v>4.3130000000000006</v>
      </c>
      <c r="J9" s="5">
        <f>J6*Assumptions!J20</f>
        <v>9.2915699313835844</v>
      </c>
      <c r="K9" s="5">
        <f>K6*Assumptions!K20</f>
        <v>7.7034523270205666</v>
      </c>
      <c r="L9" s="6"/>
      <c r="M9" s="57"/>
    </row>
    <row r="10" spans="1:14">
      <c r="B10" s="59" t="s">
        <v>15</v>
      </c>
      <c r="C10" s="59"/>
      <c r="E10" s="15"/>
      <c r="F10" s="15"/>
      <c r="G10" s="15"/>
      <c r="H10" s="15"/>
      <c r="I10" s="15"/>
      <c r="J10" s="5"/>
      <c r="K10" s="5"/>
      <c r="M10" s="57"/>
    </row>
    <row r="11" spans="1:14">
      <c r="B11" s="59"/>
      <c r="C11" s="59" t="s">
        <v>17</v>
      </c>
      <c r="E11" s="15">
        <v>2.0339999999999998</v>
      </c>
      <c r="F11" s="15">
        <v>2.06</v>
      </c>
      <c r="G11" s="15">
        <v>1.9910000000000001</v>
      </c>
      <c r="H11" s="15">
        <v>1.8649999999999998</v>
      </c>
      <c r="I11" s="15">
        <v>1.6019999999999999</v>
      </c>
      <c r="J11" s="5">
        <f>Assumptions!J21*'Balance sheet'!J6</f>
        <v>2.0207416548473107</v>
      </c>
      <c r="K11" s="5">
        <f>Assumptions!K21*'Balance sheet'!K6</f>
        <v>1.917171325994991</v>
      </c>
      <c r="M11" s="58"/>
    </row>
    <row r="12" spans="1:14">
      <c r="B12" s="59"/>
      <c r="C12" s="59" t="s">
        <v>16</v>
      </c>
      <c r="E12" s="15">
        <v>0.76500000000000001</v>
      </c>
      <c r="F12" s="15">
        <v>0.64</v>
      </c>
      <c r="G12" s="15">
        <v>0.55300000000000005</v>
      </c>
      <c r="H12" s="15">
        <v>0.83200000000000007</v>
      </c>
      <c r="I12" s="15">
        <v>0.59400000000000008</v>
      </c>
      <c r="J12" s="5">
        <f>Assumptions!J22*'Balance sheet'!J6</f>
        <v>0.7005770284954711</v>
      </c>
      <c r="K12" s="5">
        <f>Assumptions!K22*'Balance sheet'!K6</f>
        <v>0.68583756544931751</v>
      </c>
      <c r="M12" s="58"/>
    </row>
    <row r="13" spans="1:14">
      <c r="B13" s="59" t="s">
        <v>18</v>
      </c>
      <c r="C13" s="59"/>
      <c r="E13" s="15"/>
      <c r="F13" s="15"/>
      <c r="G13" s="15"/>
      <c r="H13" s="15"/>
      <c r="I13" s="15"/>
      <c r="J13" s="5"/>
      <c r="K13" s="5"/>
      <c r="M13" s="57"/>
    </row>
    <row r="14" spans="1:14">
      <c r="B14" s="59"/>
      <c r="C14" s="59" t="s">
        <v>19</v>
      </c>
      <c r="E14" s="15">
        <v>7.1099999999999994</v>
      </c>
      <c r="F14" s="15">
        <v>7.8629999999999995</v>
      </c>
      <c r="G14" s="15">
        <v>0.34199999999999997</v>
      </c>
      <c r="H14" s="15">
        <v>0</v>
      </c>
      <c r="I14" s="15">
        <v>55.847000000000001</v>
      </c>
      <c r="J14" s="5">
        <f>I14</f>
        <v>55.847000000000001</v>
      </c>
      <c r="K14" s="5">
        <f>J14</f>
        <v>55.847000000000001</v>
      </c>
      <c r="M14" s="57"/>
    </row>
    <row r="15" spans="1:14">
      <c r="B15" s="59"/>
      <c r="C15" s="59" t="s">
        <v>20</v>
      </c>
      <c r="E15" s="15">
        <v>9.0189999999999984</v>
      </c>
      <c r="F15" s="15">
        <v>0</v>
      </c>
      <c r="G15" s="15">
        <v>0</v>
      </c>
      <c r="H15" s="15">
        <v>0</v>
      </c>
      <c r="I15" s="15">
        <v>0</v>
      </c>
      <c r="J15" s="5">
        <v>0</v>
      </c>
      <c r="K15" s="5">
        <v>0</v>
      </c>
    </row>
    <row r="16" spans="1:14">
      <c r="B16" s="59"/>
      <c r="C16" s="59" t="s">
        <v>21</v>
      </c>
      <c r="E16" s="15">
        <v>5.8050000000000015</v>
      </c>
      <c r="F16" s="15">
        <v>8.495000000000001</v>
      </c>
      <c r="G16" s="15">
        <v>9.3730000000000011</v>
      </c>
      <c r="H16" s="15">
        <v>9.9109999999999996</v>
      </c>
      <c r="I16" s="15">
        <v>12.540000000000001</v>
      </c>
      <c r="J16" s="5">
        <f>J6*Assumptions!J23</f>
        <v>12.617310479786163</v>
      </c>
      <c r="K16" s="5">
        <f>K6*Assumptions!K23</f>
        <v>14.417684521716701</v>
      </c>
    </row>
    <row r="17" spans="1:15">
      <c r="B17" s="59" t="s">
        <v>22</v>
      </c>
      <c r="C17" s="59"/>
      <c r="E17" s="15">
        <v>4.6189999999999998</v>
      </c>
      <c r="F17" s="15">
        <v>3.6479999999999997</v>
      </c>
      <c r="G17" s="15">
        <v>8.7579999999999991</v>
      </c>
      <c r="H17" s="15">
        <v>1.9600000000000002</v>
      </c>
      <c r="I17" s="15">
        <v>2.5499999999999998</v>
      </c>
      <c r="J17" s="5">
        <f>I17</f>
        <v>2.5499999999999998</v>
      </c>
      <c r="K17" s="5">
        <f>J17</f>
        <v>2.5499999999999998</v>
      </c>
    </row>
    <row r="18" spans="1:15">
      <c r="B18" s="59" t="s">
        <v>23</v>
      </c>
      <c r="C18" s="59"/>
      <c r="E18" s="15">
        <v>1.875</v>
      </c>
      <c r="F18" s="15">
        <v>0.312</v>
      </c>
      <c r="G18" s="15">
        <v>2.0999999999999998E-2</v>
      </c>
      <c r="H18" s="15">
        <v>7.3999999999999996E-2</v>
      </c>
      <c r="I18" s="15">
        <v>3.4000000000000002E-2</v>
      </c>
      <c r="J18" s="5">
        <f>I18</f>
        <v>3.4000000000000002E-2</v>
      </c>
      <c r="K18" s="5">
        <f>J18</f>
        <v>3.4000000000000002E-2</v>
      </c>
    </row>
    <row r="19" spans="1:15">
      <c r="A19" s="57"/>
      <c r="B19" s="57" t="s">
        <v>24</v>
      </c>
      <c r="E19" s="15">
        <v>8.59</v>
      </c>
      <c r="F19" s="15">
        <v>11.164</v>
      </c>
      <c r="G19" s="15">
        <v>8.8369999999999997</v>
      </c>
      <c r="H19" s="15">
        <v>1.1659999999999999</v>
      </c>
      <c r="I19" s="15">
        <v>44.414000000000001</v>
      </c>
      <c r="J19" s="5">
        <f>Assumptions!J25*'Balance sheet'!J6</f>
        <v>17.086476717343395</v>
      </c>
      <c r="K19" s="5">
        <f>Assumptions!K25*'Balance sheet'!K6</f>
        <v>17.995282796065815</v>
      </c>
    </row>
    <row r="20" spans="1:15" s="7" customFormat="1">
      <c r="B20" s="8" t="s">
        <v>31</v>
      </c>
      <c r="C20" s="8"/>
      <c r="D20" s="8"/>
      <c r="E20" s="16">
        <f t="shared" ref="E20" si="0">SUM(E6:E19)</f>
        <v>382.70799999999991</v>
      </c>
      <c r="F20" s="16">
        <f>SUM(F6:F19)</f>
        <v>545.87399999999991</v>
      </c>
      <c r="G20" s="16">
        <f>SUM(G6:G19)</f>
        <v>577.41699999999992</v>
      </c>
      <c r="H20" s="16">
        <f>SUM(H6:H19)</f>
        <v>570.33699999999999</v>
      </c>
      <c r="I20" s="16">
        <f>SUM(I6:I19)</f>
        <v>685.35899999999981</v>
      </c>
      <c r="J20" s="9">
        <f t="shared" ref="J20:K20" si="1">SUM(J6:J19)</f>
        <v>667.64455975367321</v>
      </c>
      <c r="K20" s="9">
        <f t="shared" si="1"/>
        <v>664.33373288327243</v>
      </c>
    </row>
    <row r="21" spans="1:15">
      <c r="E21" s="5"/>
      <c r="F21" s="5"/>
      <c r="G21" s="5"/>
      <c r="H21" s="5"/>
      <c r="I21" s="5"/>
      <c r="J21" s="5"/>
      <c r="K21" s="5"/>
    </row>
    <row r="22" spans="1:15">
      <c r="A22" s="4" t="s">
        <v>25</v>
      </c>
      <c r="E22" s="5"/>
      <c r="F22" s="5"/>
      <c r="G22" s="5"/>
      <c r="H22" s="5"/>
      <c r="I22" s="5"/>
      <c r="J22" s="5"/>
      <c r="K22" s="5"/>
    </row>
    <row r="23" spans="1:15">
      <c r="A23" s="57"/>
      <c r="B23" s="57" t="s">
        <v>26</v>
      </c>
      <c r="C23" s="57"/>
      <c r="D23" s="57"/>
      <c r="E23" s="60">
        <v>134.083</v>
      </c>
      <c r="F23" s="60">
        <v>124.85299999999999</v>
      </c>
      <c r="G23" s="60">
        <v>120.17</v>
      </c>
      <c r="H23" s="60">
        <v>96.171999999999997</v>
      </c>
      <c r="I23" s="60">
        <v>120.98499999999999</v>
      </c>
      <c r="J23" s="61">
        <f>'Income Statement'!J10/Assumptions!J27</f>
        <v>143.77985140343503</v>
      </c>
      <c r="K23" s="61">
        <f>'Income Statement'!K10/Assumptions!K27</f>
        <v>152.16305973831891</v>
      </c>
      <c r="L23" s="57"/>
      <c r="M23" s="58"/>
      <c r="N23" s="6"/>
      <c r="O23" s="6"/>
    </row>
    <row r="24" spans="1:15">
      <c r="A24" s="57"/>
      <c r="B24" s="57" t="s">
        <v>18</v>
      </c>
      <c r="C24" s="57"/>
      <c r="D24" s="57"/>
      <c r="E24" s="58"/>
      <c r="F24" s="58"/>
      <c r="G24" s="58"/>
      <c r="H24" s="58"/>
      <c r="I24" s="58"/>
      <c r="J24" s="61"/>
      <c r="K24" s="61"/>
      <c r="L24" s="57"/>
      <c r="M24" s="57"/>
    </row>
    <row r="25" spans="1:15">
      <c r="A25" s="57"/>
      <c r="B25" s="57"/>
      <c r="C25" s="57" t="s">
        <v>19</v>
      </c>
      <c r="D25" s="57"/>
      <c r="E25" s="60">
        <v>59.849000000000004</v>
      </c>
      <c r="F25" s="60">
        <v>18.134999999999998</v>
      </c>
      <c r="G25" s="60">
        <v>11.522</v>
      </c>
      <c r="H25" s="60">
        <v>60.427999999999997</v>
      </c>
      <c r="I25" s="60">
        <v>128.50299999999999</v>
      </c>
      <c r="J25" s="58">
        <f>I25</f>
        <v>128.50299999999999</v>
      </c>
      <c r="K25" s="58">
        <f>J25</f>
        <v>128.50299999999999</v>
      </c>
      <c r="L25" s="57"/>
      <c r="M25" s="57"/>
    </row>
    <row r="26" spans="1:15">
      <c r="A26" s="57"/>
      <c r="B26" s="57"/>
      <c r="C26" s="57" t="s">
        <v>27</v>
      </c>
      <c r="D26" s="57"/>
      <c r="E26" s="60">
        <v>3.6049999999999995</v>
      </c>
      <c r="F26" s="60">
        <v>7.3230000000000004</v>
      </c>
      <c r="G26" s="60">
        <v>7.2030000000000003</v>
      </c>
      <c r="H26" s="60">
        <v>4.8879999999999999</v>
      </c>
      <c r="I26" s="60">
        <v>4.7649999999999997</v>
      </c>
      <c r="J26" s="61">
        <f>'Income Statement'!J5/Assumptions!J30</f>
        <v>7.5994653773313514</v>
      </c>
      <c r="K26" s="61">
        <f>'Income Statement'!K5/Assumptions!K30</f>
        <v>8.4007072293447909</v>
      </c>
      <c r="L26" s="57"/>
      <c r="M26" s="58"/>
    </row>
    <row r="27" spans="1:15">
      <c r="A27" s="57"/>
      <c r="B27" s="57"/>
      <c r="C27" s="57" t="s">
        <v>32</v>
      </c>
      <c r="D27" s="57"/>
      <c r="E27" s="60">
        <v>13.916999999999998</v>
      </c>
      <c r="F27" s="60">
        <v>21.448</v>
      </c>
      <c r="G27" s="60">
        <v>68.673000000000002</v>
      </c>
      <c r="H27" s="60">
        <v>124.14400000000001</v>
      </c>
      <c r="I27" s="60">
        <v>109.89400000000001</v>
      </c>
      <c r="J27" s="61">
        <f>'Cashflow statement'!J62</f>
        <v>229.17668449191115</v>
      </c>
      <c r="K27" s="61">
        <f>'Cashflow statement'!K62</f>
        <v>378.95828650448226</v>
      </c>
      <c r="L27" s="57"/>
      <c r="M27" s="57"/>
      <c r="N27" s="5"/>
    </row>
    <row r="28" spans="1:15">
      <c r="A28" s="57"/>
      <c r="B28" s="57"/>
      <c r="C28" s="57" t="s">
        <v>28</v>
      </c>
      <c r="D28" s="57"/>
      <c r="E28" s="60">
        <v>6.9999999999999993E-2</v>
      </c>
      <c r="F28" s="60">
        <v>8.199999999999999E-2</v>
      </c>
      <c r="G28" s="60">
        <v>3.4000000000000002E-2</v>
      </c>
      <c r="H28" s="60">
        <v>100.304</v>
      </c>
      <c r="I28" s="60">
        <v>21.955000000000002</v>
      </c>
      <c r="J28" s="61">
        <f>I28</f>
        <v>21.955000000000002</v>
      </c>
      <c r="K28" s="61">
        <f>J28</f>
        <v>21.955000000000002</v>
      </c>
      <c r="L28" s="57"/>
      <c r="M28" s="57"/>
    </row>
    <row r="29" spans="1:15">
      <c r="A29" s="57"/>
      <c r="B29" s="57"/>
      <c r="C29" s="57" t="s">
        <v>20</v>
      </c>
      <c r="D29" s="57"/>
      <c r="E29" s="60">
        <v>6.7</v>
      </c>
      <c r="F29" s="60">
        <v>15.693000000000001</v>
      </c>
      <c r="G29" s="60">
        <v>3.7610000000000001</v>
      </c>
      <c r="H29" s="60">
        <v>3.5409999999999995</v>
      </c>
      <c r="I29" s="60">
        <v>0.47699999999999998</v>
      </c>
      <c r="J29" s="61">
        <f>Assumptions!J32*'Balance sheet'!J6</f>
        <v>6.5751456627567126</v>
      </c>
      <c r="K29" s="61">
        <f>Assumptions!K32*'Balance sheet'!K6</f>
        <v>3.6730335167234673</v>
      </c>
      <c r="L29" s="58"/>
      <c r="M29" s="58"/>
      <c r="N29" s="58"/>
      <c r="O29" s="57"/>
    </row>
    <row r="30" spans="1:15">
      <c r="A30" s="57"/>
      <c r="B30" s="57"/>
      <c r="C30" s="57" t="s">
        <v>21</v>
      </c>
      <c r="D30" s="57"/>
      <c r="E30" s="60">
        <v>0.16299999999999998</v>
      </c>
      <c r="F30" s="60">
        <v>0.22599999999999998</v>
      </c>
      <c r="G30" s="60">
        <v>0.64800000000000002</v>
      </c>
      <c r="H30" s="60">
        <v>0.36199999999999999</v>
      </c>
      <c r="I30" s="60">
        <v>5.3549999999999995</v>
      </c>
      <c r="J30" s="61">
        <f>Assumptions!J33*'Balance sheet'!J6</f>
        <v>1.6834891535574796</v>
      </c>
      <c r="K30" s="61">
        <f>Assumptions!K33*'Balance sheet'!K6</f>
        <v>2.0223955355883056</v>
      </c>
      <c r="L30" s="58"/>
      <c r="M30" s="58"/>
      <c r="N30" s="58"/>
      <c r="O30" s="57"/>
    </row>
    <row r="31" spans="1:15">
      <c r="A31" s="57"/>
      <c r="B31" s="57" t="s">
        <v>33</v>
      </c>
      <c r="C31" s="57"/>
      <c r="D31" s="57"/>
      <c r="E31" s="60">
        <v>7.8689999999999998</v>
      </c>
      <c r="F31" s="60">
        <v>18.286999999999999</v>
      </c>
      <c r="G31" s="60">
        <v>10.879999999999999</v>
      </c>
      <c r="H31" s="60">
        <v>12.068999999999999</v>
      </c>
      <c r="I31" s="60">
        <v>11.145999999999999</v>
      </c>
      <c r="J31" s="61">
        <f>Assumptions!J34*'Balance sheet'!J6</f>
        <v>14.159554898474989</v>
      </c>
      <c r="K31" s="61">
        <f>Assumptions!K34*'Balance sheet'!K6</f>
        <v>12.334649175516045</v>
      </c>
      <c r="L31" s="57"/>
      <c r="M31" s="57"/>
    </row>
    <row r="32" spans="1:15" s="7" customFormat="1">
      <c r="A32" s="62"/>
      <c r="B32" s="63" t="s">
        <v>34</v>
      </c>
      <c r="C32" s="63"/>
      <c r="D32" s="63"/>
      <c r="E32" s="64">
        <f>SUM(E23:E31)</f>
        <v>226.256</v>
      </c>
      <c r="F32" s="64">
        <f>SUM(F23:F31)</f>
        <v>206.04700000000003</v>
      </c>
      <c r="G32" s="64">
        <f>SUM(G23:G31)</f>
        <v>222.89099999999999</v>
      </c>
      <c r="H32" s="64">
        <f t="shared" ref="H32" si="2">SUM(H23:H31)</f>
        <v>401.90800000000007</v>
      </c>
      <c r="I32" s="64">
        <f>SUM(I23:I31)</f>
        <v>403.07999999999993</v>
      </c>
      <c r="J32" s="65">
        <f t="shared" ref="J32:K32" si="3">SUM(J23:J31)</f>
        <v>553.43219098746681</v>
      </c>
      <c r="K32" s="65">
        <f t="shared" si="3"/>
        <v>708.01013169997373</v>
      </c>
      <c r="L32" s="62"/>
      <c r="M32" s="62"/>
    </row>
    <row r="33" spans="1:13">
      <c r="A33" s="57"/>
      <c r="B33" s="57"/>
      <c r="C33" s="57"/>
      <c r="D33" s="57"/>
      <c r="E33" s="58"/>
      <c r="F33" s="58"/>
      <c r="G33" s="58"/>
      <c r="H33" s="58"/>
      <c r="I33" s="58"/>
      <c r="J33" s="61"/>
      <c r="K33" s="61"/>
      <c r="L33" s="57"/>
      <c r="M33" s="57"/>
    </row>
    <row r="34" spans="1:13" s="7" customFormat="1">
      <c r="B34" s="8" t="s">
        <v>35</v>
      </c>
      <c r="C34" s="8"/>
      <c r="D34" s="8"/>
      <c r="E34" s="16">
        <f t="shared" ref="E34:H34" si="4">E20+E32</f>
        <v>608.96399999999994</v>
      </c>
      <c r="F34" s="16">
        <f t="shared" si="4"/>
        <v>751.92099999999994</v>
      </c>
      <c r="G34" s="16">
        <f t="shared" si="4"/>
        <v>800.30799999999988</v>
      </c>
      <c r="H34" s="16">
        <f t="shared" si="4"/>
        <v>972.24500000000012</v>
      </c>
      <c r="I34" s="16">
        <f>I20+I32</f>
        <v>1088.4389999999999</v>
      </c>
      <c r="J34" s="9">
        <f t="shared" ref="J34:K34" si="5">J20+J32</f>
        <v>1221.0767507411401</v>
      </c>
      <c r="K34" s="9">
        <f t="shared" si="5"/>
        <v>1372.3438645832462</v>
      </c>
    </row>
    <row r="35" spans="1:13">
      <c r="E35" s="6"/>
      <c r="F35" s="6"/>
      <c r="G35" s="6"/>
      <c r="H35" s="6"/>
      <c r="I35" s="6"/>
      <c r="J35" s="5"/>
      <c r="K35" s="5"/>
    </row>
    <row r="36" spans="1:13">
      <c r="A36" s="4" t="s">
        <v>36</v>
      </c>
      <c r="E36" s="6"/>
      <c r="F36" s="6"/>
      <c r="G36" s="6"/>
      <c r="H36" s="6"/>
      <c r="I36" s="6"/>
      <c r="J36" s="5"/>
      <c r="K36" s="5"/>
    </row>
    <row r="37" spans="1:13">
      <c r="A37" s="4" t="s">
        <v>37</v>
      </c>
      <c r="E37" s="6"/>
      <c r="F37" s="6"/>
      <c r="G37" s="6"/>
      <c r="H37" s="6"/>
      <c r="I37" s="6"/>
      <c r="J37" s="5"/>
      <c r="K37" s="5"/>
    </row>
    <row r="38" spans="1:13">
      <c r="B38" t="s">
        <v>38</v>
      </c>
      <c r="E38" s="15">
        <v>3.2749999999999999</v>
      </c>
      <c r="F38" s="15">
        <v>55.672000000000004</v>
      </c>
      <c r="G38" s="15">
        <v>55.672000000000004</v>
      </c>
      <c r="H38" s="15">
        <v>58.325000000000003</v>
      </c>
      <c r="I38" s="15">
        <v>59.492999999999995</v>
      </c>
      <c r="J38" s="5">
        <f>I38</f>
        <v>59.492999999999995</v>
      </c>
      <c r="K38" s="5">
        <f>J38</f>
        <v>59.492999999999995</v>
      </c>
    </row>
    <row r="39" spans="1:13">
      <c r="B39" t="s">
        <v>39</v>
      </c>
      <c r="E39" s="15">
        <v>336.25700000000001</v>
      </c>
      <c r="F39" s="15">
        <v>350.70100000000002</v>
      </c>
      <c r="G39" s="15">
        <v>377.82399999999996</v>
      </c>
      <c r="H39" s="15">
        <v>599.64499999999998</v>
      </c>
      <c r="I39" s="15">
        <v>783.66800000000001</v>
      </c>
      <c r="J39" s="5">
        <f>I39+'Income Statement'!J25</f>
        <v>897.85410411411158</v>
      </c>
      <c r="K39" s="5">
        <f>J39+'Income Statement'!K25</f>
        <v>1033.5795997800276</v>
      </c>
    </row>
    <row r="40" spans="1:13" s="7" customFormat="1">
      <c r="B40" s="8" t="s">
        <v>40</v>
      </c>
      <c r="C40" s="8"/>
      <c r="D40" s="8"/>
      <c r="E40" s="16">
        <f t="shared" ref="E40:G40" si="6">E39+E38</f>
        <v>339.53199999999998</v>
      </c>
      <c r="F40" s="16">
        <f t="shared" si="6"/>
        <v>406.37300000000005</v>
      </c>
      <c r="G40" s="16">
        <f t="shared" si="6"/>
        <v>433.49599999999998</v>
      </c>
      <c r="H40" s="16">
        <f>H39+H38</f>
        <v>657.97</v>
      </c>
      <c r="I40" s="16">
        <f t="shared" ref="I40:K40" si="7">I39+I38</f>
        <v>843.16100000000006</v>
      </c>
      <c r="J40" s="9">
        <f t="shared" si="7"/>
        <v>957.34710411411152</v>
      </c>
      <c r="K40" s="9">
        <f t="shared" si="7"/>
        <v>1093.0725997800275</v>
      </c>
    </row>
    <row r="41" spans="1:13">
      <c r="E41" s="6"/>
      <c r="F41" s="6"/>
      <c r="G41" s="6"/>
      <c r="H41" s="6"/>
      <c r="I41" s="6"/>
      <c r="J41" s="5"/>
      <c r="K41" s="5"/>
    </row>
    <row r="42" spans="1:13">
      <c r="A42" s="4" t="s">
        <v>41</v>
      </c>
      <c r="E42" s="6"/>
      <c r="F42" s="6"/>
      <c r="G42" s="6"/>
      <c r="H42" s="6"/>
      <c r="I42" s="6"/>
      <c r="J42" s="5"/>
      <c r="K42" s="5"/>
    </row>
    <row r="43" spans="1:13">
      <c r="A43" s="66" t="s">
        <v>42</v>
      </c>
      <c r="B43" s="57"/>
      <c r="C43" s="57"/>
      <c r="D43" s="57"/>
      <c r="E43" s="58"/>
      <c r="F43" s="58"/>
      <c r="G43" s="58"/>
      <c r="H43" s="58"/>
      <c r="I43" s="58"/>
      <c r="J43" s="61"/>
      <c r="K43" s="61"/>
    </row>
    <row r="44" spans="1:13">
      <c r="A44" s="57"/>
      <c r="B44" s="57" t="s">
        <v>43</v>
      </c>
      <c r="C44" s="57"/>
      <c r="D44" s="57"/>
      <c r="E44" s="58"/>
      <c r="F44" s="58"/>
      <c r="G44" s="58"/>
      <c r="H44" s="58"/>
      <c r="I44" s="58"/>
      <c r="J44" s="61"/>
      <c r="K44" s="61"/>
    </row>
    <row r="45" spans="1:13">
      <c r="A45" s="57"/>
      <c r="B45" s="59"/>
      <c r="C45" s="59" t="s">
        <v>44</v>
      </c>
      <c r="D45" s="57"/>
      <c r="E45" s="60">
        <v>22.25</v>
      </c>
      <c r="F45" s="60">
        <v>110.23800000000001</v>
      </c>
      <c r="G45" s="60">
        <v>86.724999999999994</v>
      </c>
      <c r="H45" s="60">
        <v>52.966999999999999</v>
      </c>
      <c r="I45" s="60">
        <v>0</v>
      </c>
      <c r="J45" s="61">
        <v>0</v>
      </c>
      <c r="K45" s="61">
        <v>0</v>
      </c>
    </row>
    <row r="46" spans="1:13">
      <c r="A46" s="57"/>
      <c r="B46" s="59"/>
      <c r="C46" s="59" t="s">
        <v>45</v>
      </c>
      <c r="D46" s="57"/>
      <c r="E46" s="60">
        <v>5.7309999999999999</v>
      </c>
      <c r="F46" s="60">
        <v>7.65</v>
      </c>
      <c r="G46" s="60">
        <v>7.069</v>
      </c>
      <c r="H46" s="60">
        <v>9.9370000000000012</v>
      </c>
      <c r="I46" s="60">
        <v>9.831999999999999</v>
      </c>
      <c r="J46" s="61">
        <f>I46</f>
        <v>9.831999999999999</v>
      </c>
      <c r="K46" s="61">
        <f>J46</f>
        <v>9.831999999999999</v>
      </c>
      <c r="L46" s="5"/>
    </row>
    <row r="47" spans="1:13">
      <c r="A47" s="57"/>
      <c r="B47" s="59" t="s">
        <v>46</v>
      </c>
      <c r="C47" s="59"/>
      <c r="D47" s="57"/>
      <c r="E47" s="60">
        <v>6.8879999999999999</v>
      </c>
      <c r="F47" s="60">
        <v>6.5</v>
      </c>
      <c r="G47" s="60">
        <v>9.4909999999999997</v>
      </c>
      <c r="H47" s="60">
        <v>45.47</v>
      </c>
      <c r="I47" s="60">
        <v>10.875</v>
      </c>
      <c r="J47" s="61">
        <f>Assumptions!J39*'Balance sheet'!J6</f>
        <v>19.074938451155507</v>
      </c>
      <c r="K47" s="61">
        <f>Assumptions!K39*'Balance sheet'!K6</f>
        <v>21.790970502669339</v>
      </c>
      <c r="L47" s="6"/>
    </row>
    <row r="48" spans="1:13">
      <c r="A48" s="57"/>
      <c r="B48" s="57" t="s">
        <v>47</v>
      </c>
      <c r="C48" s="57"/>
      <c r="D48" s="57"/>
      <c r="E48" s="60">
        <v>20.741999999999997</v>
      </c>
      <c r="F48" s="60">
        <v>25.818999999999999</v>
      </c>
      <c r="G48" s="60">
        <v>36.512999999999998</v>
      </c>
      <c r="H48" s="60">
        <v>2.5550000000000002</v>
      </c>
      <c r="I48" s="60">
        <v>34.593000000000004</v>
      </c>
      <c r="J48" s="61">
        <f>I48</f>
        <v>34.593000000000004</v>
      </c>
      <c r="K48" s="61">
        <f>J48</f>
        <v>34.593000000000004</v>
      </c>
    </row>
    <row r="49" spans="1:13">
      <c r="A49" s="57"/>
      <c r="B49" s="57" t="s">
        <v>48</v>
      </c>
      <c r="C49" s="57"/>
      <c r="D49" s="57"/>
      <c r="E49" s="60">
        <v>3.4520000000000004</v>
      </c>
      <c r="F49" s="60">
        <v>3.1339999999999999</v>
      </c>
      <c r="G49" s="60">
        <v>2.8380000000000001</v>
      </c>
      <c r="H49" s="60">
        <v>8.754999999999999</v>
      </c>
      <c r="I49" s="60">
        <v>2.2640000000000002</v>
      </c>
      <c r="J49" s="61">
        <f>I49</f>
        <v>2.2640000000000002</v>
      </c>
      <c r="K49" s="61">
        <f>J49</f>
        <v>2.2640000000000002</v>
      </c>
    </row>
    <row r="50" spans="1:13" s="7" customFormat="1">
      <c r="A50" s="62"/>
      <c r="B50" s="63" t="s">
        <v>49</v>
      </c>
      <c r="C50" s="63"/>
      <c r="D50" s="63"/>
      <c r="E50" s="64">
        <f>SUM(E45:E49)</f>
        <v>59.062999999999995</v>
      </c>
      <c r="F50" s="64">
        <f>SUM(F45:F49)</f>
        <v>153.34100000000001</v>
      </c>
      <c r="G50" s="64">
        <f>SUM(G45:G49)</f>
        <v>142.636</v>
      </c>
      <c r="H50" s="64">
        <f>SUM(H45:H49)</f>
        <v>119.684</v>
      </c>
      <c r="I50" s="64">
        <f t="shared" ref="I50:J50" si="8">SUM(I45:I49)</f>
        <v>57.564000000000007</v>
      </c>
      <c r="J50" s="65">
        <f t="shared" si="8"/>
        <v>65.763938451155511</v>
      </c>
      <c r="K50" s="65">
        <f>SUM(K45:K49)</f>
        <v>68.479970502669332</v>
      </c>
    </row>
    <row r="51" spans="1:13">
      <c r="A51" s="57"/>
      <c r="B51" s="57"/>
      <c r="C51" s="57"/>
      <c r="D51" s="57"/>
      <c r="E51" s="58"/>
      <c r="F51" s="58"/>
      <c r="G51" s="58"/>
      <c r="H51" s="58"/>
      <c r="I51" s="58"/>
      <c r="J51" s="61"/>
      <c r="K51" s="61"/>
    </row>
    <row r="52" spans="1:13">
      <c r="A52" s="66" t="s">
        <v>50</v>
      </c>
      <c r="B52" s="57"/>
      <c r="C52" s="57"/>
      <c r="D52" s="57"/>
      <c r="E52" s="58"/>
      <c r="F52" s="58"/>
      <c r="G52" s="58"/>
      <c r="H52" s="58"/>
      <c r="I52" s="58"/>
      <c r="J52" s="61"/>
      <c r="K52" s="61"/>
    </row>
    <row r="53" spans="1:13">
      <c r="A53" s="57"/>
      <c r="B53" s="57" t="s">
        <v>43</v>
      </c>
      <c r="C53" s="57"/>
      <c r="D53" s="57"/>
      <c r="E53" s="58"/>
      <c r="F53" s="58"/>
      <c r="G53" s="58"/>
      <c r="H53" s="58"/>
      <c r="I53" s="58"/>
      <c r="J53" s="61"/>
      <c r="K53" s="61"/>
    </row>
    <row r="54" spans="1:13">
      <c r="B54" s="59"/>
      <c r="C54" s="59" t="s">
        <v>44</v>
      </c>
      <c r="E54" s="15">
        <v>94.313000000000002</v>
      </c>
      <c r="F54" s="15">
        <v>31.364999999999998</v>
      </c>
      <c r="G54" s="15">
        <v>40</v>
      </c>
      <c r="H54" s="15">
        <v>0</v>
      </c>
      <c r="I54" s="15">
        <v>0</v>
      </c>
      <c r="J54" s="5">
        <v>0</v>
      </c>
      <c r="K54" s="5">
        <v>0</v>
      </c>
    </row>
    <row r="55" spans="1:13">
      <c r="B55" s="59"/>
      <c r="C55" s="59" t="s">
        <v>45</v>
      </c>
      <c r="E55" s="15">
        <v>0.92300000000000004</v>
      </c>
      <c r="F55" s="15">
        <v>1.4449999999999998</v>
      </c>
      <c r="G55" s="15">
        <v>2.645</v>
      </c>
      <c r="H55" s="15">
        <v>1.762</v>
      </c>
      <c r="I55" s="15">
        <v>3.0409999999999999</v>
      </c>
      <c r="J55" s="5">
        <f>I55</f>
        <v>3.0409999999999999</v>
      </c>
      <c r="K55" s="5">
        <f>J55</f>
        <v>3.0409999999999999</v>
      </c>
      <c r="L55" s="5"/>
    </row>
    <row r="56" spans="1:13">
      <c r="B56" s="59"/>
      <c r="C56" s="59" t="s">
        <v>51</v>
      </c>
      <c r="E56" s="15">
        <v>62.476999999999997</v>
      </c>
      <c r="F56" s="15">
        <v>75.686000000000007</v>
      </c>
      <c r="G56" s="15">
        <v>78.215999999999994</v>
      </c>
      <c r="H56" s="15">
        <v>86.471000000000004</v>
      </c>
      <c r="I56" s="15">
        <v>102.90900000000002</v>
      </c>
      <c r="J56" s="5">
        <f>'Income Statement'!J10/Assumptions!J43</f>
        <v>98.035740377134331</v>
      </c>
      <c r="K56" s="5">
        <f>'Income Statement'!K10/Assumptions!K43</f>
        <v>111.21087105074058</v>
      </c>
      <c r="L56" s="5"/>
      <c r="M56" s="5"/>
    </row>
    <row r="57" spans="1:13">
      <c r="B57" s="59"/>
      <c r="C57" s="59" t="s">
        <v>52</v>
      </c>
      <c r="E57" s="15">
        <v>31.782</v>
      </c>
      <c r="F57" s="15">
        <v>56.855999999999995</v>
      </c>
      <c r="G57" s="15">
        <v>61.133000000000003</v>
      </c>
      <c r="H57" s="15">
        <v>72.491</v>
      </c>
      <c r="I57" s="15">
        <v>34.547000000000004</v>
      </c>
      <c r="J57" s="5">
        <f>Assumptions!J45*J6</f>
        <v>60.505373938965363</v>
      </c>
      <c r="K57" s="5">
        <f>Assumptions!K45*K6</f>
        <v>58.780909889718387</v>
      </c>
    </row>
    <row r="58" spans="1:13">
      <c r="B58" s="59" t="s">
        <v>53</v>
      </c>
      <c r="C58" s="59"/>
      <c r="E58" s="15">
        <v>5.0250000000000004</v>
      </c>
      <c r="F58" s="15">
        <v>5.9539999999999997</v>
      </c>
      <c r="G58" s="15">
        <v>5.3010000000000002</v>
      </c>
      <c r="H58" s="15">
        <v>6.5180000000000007</v>
      </c>
      <c r="I58" s="15">
        <v>13.218999999999999</v>
      </c>
      <c r="J58" s="5">
        <f>Assumptions!J46*J6</f>
        <v>8.1777971524255211</v>
      </c>
      <c r="K58" s="5">
        <f>Assumptions!K46*K6</f>
        <v>8.4384936102724453</v>
      </c>
    </row>
    <row r="59" spans="1:13">
      <c r="B59" s="59" t="s">
        <v>48</v>
      </c>
      <c r="C59" s="59"/>
      <c r="E59" s="15">
        <v>0.28599999999999998</v>
      </c>
      <c r="F59" s="15">
        <v>0.29599999999999999</v>
      </c>
      <c r="G59" s="15">
        <v>0.29599999999999999</v>
      </c>
      <c r="H59" s="15">
        <v>0.29100000000000004</v>
      </c>
      <c r="I59" s="15">
        <v>0.29100000000000004</v>
      </c>
      <c r="J59" s="5">
        <f>I59</f>
        <v>0.29100000000000004</v>
      </c>
      <c r="K59" s="5">
        <f>J59</f>
        <v>0.29100000000000004</v>
      </c>
    </row>
    <row r="60" spans="1:13">
      <c r="B60" s="59" t="s">
        <v>46</v>
      </c>
      <c r="C60" s="59"/>
      <c r="E60" s="15">
        <v>2.2890000000000001</v>
      </c>
      <c r="F60" s="15">
        <v>2.7559999999999998</v>
      </c>
      <c r="G60" s="15">
        <v>2.7960000000000003</v>
      </c>
      <c r="H60" s="15">
        <v>11.18</v>
      </c>
      <c r="I60" s="15">
        <v>13.724</v>
      </c>
      <c r="J60" s="5">
        <f>Assumptions!J47*J6</f>
        <v>7.9317967073482079</v>
      </c>
      <c r="K60" s="5">
        <f>Assumptions!K47*K6</f>
        <v>9.0460197498182193</v>
      </c>
      <c r="L60" s="6"/>
    </row>
    <row r="61" spans="1:13">
      <c r="B61" s="67" t="s">
        <v>54</v>
      </c>
      <c r="C61" s="55"/>
      <c r="E61" s="15">
        <v>13.274000000000001</v>
      </c>
      <c r="F61" s="15">
        <v>17.849</v>
      </c>
      <c r="G61" s="15">
        <v>33.789000000000001</v>
      </c>
      <c r="H61" s="15">
        <v>15.878</v>
      </c>
      <c r="I61" s="15">
        <v>19.983000000000001</v>
      </c>
      <c r="J61" s="5">
        <f>I61</f>
        <v>19.983000000000001</v>
      </c>
      <c r="K61" s="5">
        <f>J61</f>
        <v>19.983000000000001</v>
      </c>
    </row>
    <row r="62" spans="1:13" s="7" customFormat="1">
      <c r="B62" s="8" t="s">
        <v>55</v>
      </c>
      <c r="C62" s="8"/>
      <c r="D62" s="8"/>
      <c r="E62" s="16">
        <f t="shared" ref="E62" si="9">SUM(E54:E61)</f>
        <v>210.369</v>
      </c>
      <c r="F62" s="16">
        <f>SUM(F54:F61)</f>
        <v>192.20699999999999</v>
      </c>
      <c r="G62" s="16">
        <f>SUM(G54:G61)</f>
        <v>224.17599999999999</v>
      </c>
      <c r="H62" s="16">
        <f t="shared" ref="H62" si="10">SUM(H54:H61)</f>
        <v>194.59100000000001</v>
      </c>
      <c r="I62" s="16">
        <f t="shared" ref="I62" si="11">SUM(I54:I61)</f>
        <v>187.714</v>
      </c>
      <c r="J62" s="9">
        <f t="shared" ref="J62" si="12">SUM(J54:J61)</f>
        <v>197.96570817587343</v>
      </c>
      <c r="K62" s="9">
        <f t="shared" ref="K62" si="13">SUM(K54:K61)</f>
        <v>210.79129430054962</v>
      </c>
    </row>
    <row r="63" spans="1:13">
      <c r="B63" s="4"/>
      <c r="C63" s="4"/>
      <c r="D63" s="4"/>
      <c r="E63" s="17"/>
      <c r="F63" s="17"/>
      <c r="G63" s="17"/>
      <c r="H63" s="17"/>
      <c r="I63" s="17"/>
      <c r="J63" s="5"/>
      <c r="K63" s="5"/>
    </row>
    <row r="64" spans="1:13" s="7" customFormat="1">
      <c r="B64" s="8" t="s">
        <v>56</v>
      </c>
      <c r="C64" s="8"/>
      <c r="D64" s="8"/>
      <c r="E64" s="16">
        <f t="shared" ref="E64:H64" si="14">E62+E50</f>
        <v>269.43200000000002</v>
      </c>
      <c r="F64" s="16">
        <f t="shared" si="14"/>
        <v>345.548</v>
      </c>
      <c r="G64" s="16">
        <f t="shared" si="14"/>
        <v>366.81200000000001</v>
      </c>
      <c r="H64" s="16">
        <f t="shared" si="14"/>
        <v>314.27499999999998</v>
      </c>
      <c r="I64" s="16">
        <f>I62+I50</f>
        <v>245.27800000000002</v>
      </c>
      <c r="J64" s="9">
        <f t="shared" ref="J64:K64" si="15">J62+J50</f>
        <v>263.72964662702896</v>
      </c>
      <c r="K64" s="9">
        <f t="shared" si="15"/>
        <v>279.27126480321897</v>
      </c>
    </row>
    <row r="65" spans="2:11">
      <c r="E65" s="6"/>
      <c r="F65" s="6"/>
      <c r="G65" s="6"/>
      <c r="H65" s="6"/>
      <c r="I65" s="6"/>
      <c r="J65" s="5"/>
      <c r="K65" s="5"/>
    </row>
    <row r="66" spans="2:11" s="7" customFormat="1">
      <c r="B66" s="8" t="s">
        <v>57</v>
      </c>
      <c r="C66" s="8"/>
      <c r="D66" s="8"/>
      <c r="E66" s="16">
        <f t="shared" ref="E66:H66" si="16">E64+E40</f>
        <v>608.96399999999994</v>
      </c>
      <c r="F66" s="16">
        <f t="shared" si="16"/>
        <v>751.92100000000005</v>
      </c>
      <c r="G66" s="16">
        <f t="shared" si="16"/>
        <v>800.30799999999999</v>
      </c>
      <c r="H66" s="16">
        <f t="shared" si="16"/>
        <v>972.245</v>
      </c>
      <c r="I66" s="16">
        <f>I64+I40</f>
        <v>1088.4390000000001</v>
      </c>
      <c r="J66" s="9">
        <f t="shared" ref="J66:K66" si="17">J64+J40</f>
        <v>1221.0767507411406</v>
      </c>
      <c r="K66" s="9">
        <f t="shared" si="17"/>
        <v>1372.3438645832466</v>
      </c>
    </row>
    <row r="68" spans="2:11">
      <c r="E68" t="b">
        <f>E66=E34</f>
        <v>1</v>
      </c>
      <c r="F68" t="b">
        <f t="shared" ref="F68:I68" si="18">F66=F34</f>
        <v>1</v>
      </c>
      <c r="G68" t="b">
        <f t="shared" si="18"/>
        <v>1</v>
      </c>
      <c r="H68" t="b">
        <f t="shared" si="18"/>
        <v>1</v>
      </c>
      <c r="I68" t="b">
        <f t="shared" si="18"/>
        <v>1</v>
      </c>
      <c r="J68" s="45" t="b">
        <f>IF(J66=J34,TRUE,J34-J66)</f>
        <v>1</v>
      </c>
      <c r="K68" s="45" t="b">
        <f>IF(K66=K34,TRUE,K34-K66)</f>
        <v>1</v>
      </c>
    </row>
  </sheetData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showGridLines="0" workbookViewId="0">
      <pane xSplit="3" ySplit="2" topLeftCell="D30" activePane="bottomRight" state="frozen"/>
      <selection activeCell="F44" sqref="F44"/>
      <selection pane="topRight" activeCell="F44" sqref="F44"/>
      <selection pane="bottomLeft" activeCell="F44" sqref="F44"/>
      <selection pane="bottomRight" activeCell="E30" sqref="E30"/>
    </sheetView>
  </sheetViews>
  <sheetFormatPr defaultRowHeight="15"/>
  <cols>
    <col min="1" max="1" width="4.28515625" style="4" customWidth="1"/>
    <col min="2" max="2" width="4.28515625" customWidth="1"/>
    <col min="3" max="3" width="43" customWidth="1"/>
    <col min="4" max="4" width="3.7109375" customWidth="1"/>
    <col min="5" max="6" width="9.140625" style="38"/>
    <col min="7" max="7" width="10.140625" style="38" bestFit="1" customWidth="1"/>
    <col min="8" max="16384" width="9.140625" style="38"/>
  </cols>
  <sheetData>
    <row r="1" spans="1:14" customFormat="1" ht="18.75">
      <c r="A1" s="2" t="s">
        <v>131</v>
      </c>
    </row>
    <row r="2" spans="1:14" customFormat="1">
      <c r="A2" s="1" t="s">
        <v>1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4">
      <c r="A3" s="4" t="s">
        <v>132</v>
      </c>
    </row>
    <row r="4" spans="1:14">
      <c r="A4" s="4" t="s">
        <v>70</v>
      </c>
      <c r="D4" s="38"/>
      <c r="E4" s="42">
        <v>80.44</v>
      </c>
      <c r="F4" s="42">
        <v>93.28</v>
      </c>
      <c r="G4" s="42">
        <v>81.871000000000009</v>
      </c>
      <c r="H4" s="42">
        <v>186.21599999999989</v>
      </c>
      <c r="I4" s="42">
        <v>165.55999999999949</v>
      </c>
      <c r="J4" s="38">
        <f>'Income Statement'!J18</f>
        <v>173.40303452260196</v>
      </c>
      <c r="K4" s="38">
        <f>'Income Statement'!K18</f>
        <v>208.02859556932117</v>
      </c>
    </row>
    <row r="5" spans="1:14">
      <c r="B5" t="s">
        <v>133</v>
      </c>
      <c r="D5" s="38"/>
    </row>
    <row r="6" spans="1:14">
      <c r="B6" t="s">
        <v>134</v>
      </c>
      <c r="D6" s="38"/>
      <c r="E6" s="42">
        <v>27.927</v>
      </c>
      <c r="F6" s="42">
        <v>37.093000000000004</v>
      </c>
      <c r="G6" s="42">
        <v>49.192</v>
      </c>
      <c r="H6" s="42">
        <v>50.726999999999997</v>
      </c>
      <c r="I6" s="42">
        <v>52.352999999999994</v>
      </c>
      <c r="J6" s="38">
        <f>'Income Statement'!J14</f>
        <v>55.968116058182574</v>
      </c>
      <c r="K6" s="38">
        <f>'Income Statement'!K14</f>
        <v>59.313579594792444</v>
      </c>
    </row>
    <row r="7" spans="1:14">
      <c r="B7" s="53" t="s">
        <v>135</v>
      </c>
      <c r="D7" s="38"/>
      <c r="E7" s="42">
        <v>-0.98199999999999998</v>
      </c>
      <c r="F7" s="42">
        <v>-0.41600000000000004</v>
      </c>
      <c r="G7" s="42">
        <v>-0.20800000000000002</v>
      </c>
      <c r="H7" s="42">
        <v>-0.92200000000000004</v>
      </c>
      <c r="I7" s="42">
        <v>-0.20400000000000001</v>
      </c>
      <c r="J7" s="38">
        <v>0</v>
      </c>
      <c r="K7" s="38">
        <v>0</v>
      </c>
    </row>
    <row r="8" spans="1:14">
      <c r="B8" t="s">
        <v>136</v>
      </c>
      <c r="D8" s="38"/>
      <c r="E8" s="42">
        <v>0.61899999999999999</v>
      </c>
      <c r="F8" s="42">
        <v>0.57000000000000006</v>
      </c>
      <c r="G8" s="42">
        <v>1.0230000000000001</v>
      </c>
      <c r="H8" s="42">
        <v>0.38</v>
      </c>
      <c r="I8" s="42">
        <v>0.20800000000000002</v>
      </c>
      <c r="J8" s="38">
        <v>0</v>
      </c>
      <c r="K8" s="38">
        <v>0</v>
      </c>
    </row>
    <row r="9" spans="1:14">
      <c r="B9" t="s">
        <v>137</v>
      </c>
      <c r="D9" s="38"/>
      <c r="E9" s="42">
        <v>0.36699999999999999</v>
      </c>
      <c r="F9" s="42">
        <v>0.17799999999999999</v>
      </c>
      <c r="G9" s="42">
        <v>0.14399999999999999</v>
      </c>
      <c r="H9" s="42">
        <v>0.43099999999999994</v>
      </c>
      <c r="I9" s="42">
        <v>0.35299999999999998</v>
      </c>
      <c r="J9" s="38">
        <v>0</v>
      </c>
      <c r="K9" s="38">
        <v>0</v>
      </c>
    </row>
    <row r="10" spans="1:14">
      <c r="B10" t="s">
        <v>138</v>
      </c>
      <c r="D10" s="38"/>
      <c r="E10" s="42">
        <v>-0.33100000000000002</v>
      </c>
      <c r="F10" s="42">
        <v>-0.48499999999999999</v>
      </c>
      <c r="G10" s="42">
        <v>-0.68700000000000006</v>
      </c>
      <c r="H10" s="42">
        <v>-3.0529999999999999</v>
      </c>
      <c r="I10" s="42">
        <v>-6.7650000000000006</v>
      </c>
      <c r="J10" s="38">
        <v>0</v>
      </c>
      <c r="K10" s="38">
        <v>0</v>
      </c>
    </row>
    <row r="11" spans="1:14">
      <c r="B11" t="s">
        <v>66</v>
      </c>
      <c r="D11" s="38"/>
      <c r="E11" s="42">
        <v>10.89</v>
      </c>
      <c r="F11" s="42">
        <v>11.565000000000001</v>
      </c>
      <c r="G11" s="42">
        <v>16.138999999999999</v>
      </c>
      <c r="H11" s="42">
        <v>11.891999999999999</v>
      </c>
      <c r="I11" s="42">
        <v>6.5180000000000007</v>
      </c>
      <c r="J11" s="38">
        <f>'Income Statement'!J13</f>
        <v>14.065810769999997</v>
      </c>
      <c r="K11" s="38">
        <f>'Income Statement'!K13</f>
        <v>15.894366170099996</v>
      </c>
      <c r="N11" s="38" t="s">
        <v>159</v>
      </c>
    </row>
    <row r="12" spans="1:14">
      <c r="B12" t="s">
        <v>173</v>
      </c>
      <c r="D12" s="38"/>
      <c r="E12" s="42">
        <v>-0.39</v>
      </c>
      <c r="F12" s="42">
        <v>0</v>
      </c>
      <c r="G12" s="42">
        <v>0</v>
      </c>
      <c r="H12" s="42">
        <v>0</v>
      </c>
      <c r="I12" s="42">
        <v>0</v>
      </c>
      <c r="J12" s="38">
        <v>0</v>
      </c>
      <c r="K12" s="38">
        <v>0</v>
      </c>
    </row>
    <row r="13" spans="1:14">
      <c r="B13" t="s">
        <v>139</v>
      </c>
      <c r="D13" s="38"/>
      <c r="E13" s="42">
        <v>0.06</v>
      </c>
      <c r="F13" s="42">
        <v>1.8340000000000001</v>
      </c>
      <c r="G13" s="42">
        <v>0.76200000000000001</v>
      </c>
      <c r="H13" s="42">
        <v>0.34199999999999997</v>
      </c>
      <c r="I13" s="42">
        <v>6.8999999999999992E-2</v>
      </c>
      <c r="J13" s="38">
        <v>0</v>
      </c>
      <c r="K13" s="38">
        <v>0</v>
      </c>
    </row>
    <row r="14" spans="1:14">
      <c r="B14" t="s">
        <v>140</v>
      </c>
      <c r="D14" s="38"/>
      <c r="E14" s="42">
        <v>-8.199999999999999E-2</v>
      </c>
      <c r="F14" s="42">
        <v>-2.9950000000000001</v>
      </c>
      <c r="G14" s="42">
        <v>-2.3679999999999999</v>
      </c>
      <c r="H14" s="42">
        <v>-5.6999999999999995E-2</v>
      </c>
      <c r="I14" s="42">
        <v>-2.452</v>
      </c>
      <c r="J14" s="38">
        <v>0</v>
      </c>
      <c r="K14" s="38">
        <v>0</v>
      </c>
    </row>
    <row r="15" spans="1:14">
      <c r="B15" t="s">
        <v>141</v>
      </c>
      <c r="D15" s="38"/>
      <c r="E15" s="42">
        <v>-3.2509999999999999</v>
      </c>
      <c r="F15" s="42">
        <v>-0.72099999999999997</v>
      </c>
      <c r="G15" s="42">
        <v>-0.97899999999999987</v>
      </c>
      <c r="H15" s="42">
        <v>-0.34300000000000003</v>
      </c>
      <c r="I15" s="42">
        <v>-1.718</v>
      </c>
      <c r="J15" s="38">
        <v>0</v>
      </c>
      <c r="K15" s="38">
        <v>0</v>
      </c>
    </row>
    <row r="16" spans="1:14">
      <c r="B16" t="s">
        <v>142</v>
      </c>
      <c r="D16" s="38"/>
      <c r="E16" s="42">
        <v>0</v>
      </c>
      <c r="F16" s="42">
        <v>0</v>
      </c>
      <c r="G16" s="42">
        <v>0</v>
      </c>
      <c r="H16" s="42">
        <v>0.16999999999999998</v>
      </c>
      <c r="I16" s="42">
        <v>1.0109999999999999</v>
      </c>
      <c r="J16" s="38">
        <v>0</v>
      </c>
      <c r="K16" s="38">
        <v>0</v>
      </c>
    </row>
    <row r="17" spans="1:11">
      <c r="B17" s="53" t="s">
        <v>143</v>
      </c>
      <c r="D17" s="38"/>
      <c r="E17" s="42">
        <v>-0.43200000000000005</v>
      </c>
      <c r="F17" s="42">
        <v>-0.308</v>
      </c>
      <c r="G17" s="42">
        <v>-0.29599999999999999</v>
      </c>
      <c r="H17" s="42">
        <v>-0.28799999999999998</v>
      </c>
      <c r="I17" s="42">
        <v>-0.29100000000000004</v>
      </c>
      <c r="J17" s="38">
        <v>0</v>
      </c>
      <c r="K17" s="38">
        <v>0</v>
      </c>
    </row>
    <row r="18" spans="1:11">
      <c r="B18" t="s">
        <v>174</v>
      </c>
      <c r="D18" s="38"/>
      <c r="E18" s="42">
        <v>-3.4000000000000002E-2</v>
      </c>
      <c r="F18" s="42">
        <v>0</v>
      </c>
      <c r="G18" s="42">
        <v>0</v>
      </c>
      <c r="H18" s="42">
        <v>0</v>
      </c>
      <c r="I18" s="42">
        <v>0</v>
      </c>
      <c r="J18" s="38">
        <v>0</v>
      </c>
      <c r="K18" s="38">
        <v>0</v>
      </c>
    </row>
    <row r="19" spans="1:11">
      <c r="A19" s="37"/>
      <c r="B19" s="37"/>
      <c r="C19" s="37"/>
      <c r="D19" s="39"/>
      <c r="E19" s="39">
        <f t="shared" ref="E19:F19" si="0">SUM(E4:E18)</f>
        <v>114.80099999999999</v>
      </c>
      <c r="F19" s="39">
        <f t="shared" si="0"/>
        <v>139.59499999999997</v>
      </c>
      <c r="G19" s="39">
        <f>SUM(G4:G18)</f>
        <v>144.59300000000002</v>
      </c>
      <c r="H19" s="39">
        <f t="shared" ref="H19:K19" si="1">SUM(H4:H18)</f>
        <v>245.49499999999992</v>
      </c>
      <c r="I19" s="39">
        <f t="shared" si="1"/>
        <v>214.64199999999948</v>
      </c>
      <c r="J19" s="39">
        <f t="shared" si="1"/>
        <v>243.43696135078451</v>
      </c>
      <c r="K19" s="39">
        <f t="shared" si="1"/>
        <v>283.2365413342136</v>
      </c>
    </row>
    <row r="20" spans="1:11">
      <c r="A20" s="4" t="s">
        <v>144</v>
      </c>
    </row>
    <row r="21" spans="1:11">
      <c r="B21" t="s">
        <v>175</v>
      </c>
      <c r="E21" s="42">
        <v>-2.1749999999999998</v>
      </c>
      <c r="F21" s="42">
        <v>-3.2069999999999999</v>
      </c>
      <c r="G21" s="42">
        <v>0.41900000000000004</v>
      </c>
      <c r="H21" s="42">
        <v>1.8079999999999998</v>
      </c>
      <c r="I21" s="42">
        <v>0.68399999999999994</v>
      </c>
      <c r="J21" s="54">
        <f>'Balance sheet'!I26-'Balance sheet'!J26</f>
        <v>-2.8344653773313517</v>
      </c>
      <c r="K21" s="54">
        <f>'Balance sheet'!J26-'Balance sheet'!K26</f>
        <v>-0.80124185201343945</v>
      </c>
    </row>
    <row r="22" spans="1:11">
      <c r="B22" t="s">
        <v>145</v>
      </c>
      <c r="E22" s="42">
        <v>-48.892000000000003</v>
      </c>
      <c r="F22" s="42">
        <v>14.458000000000002</v>
      </c>
      <c r="G22" s="42">
        <v>5.1139999999999999</v>
      </c>
      <c r="H22" s="42">
        <v>23.891999999999999</v>
      </c>
      <c r="I22" s="42">
        <v>-24.423999999999999</v>
      </c>
      <c r="J22" s="54">
        <f>'Balance sheet'!I23-'Balance sheet'!J23</f>
        <v>-22.794851403435047</v>
      </c>
      <c r="K22" s="54">
        <f>'Balance sheet'!J23-'Balance sheet'!K23</f>
        <v>-8.3832083348838751</v>
      </c>
    </row>
    <row r="23" spans="1:11">
      <c r="B23" t="s">
        <v>146</v>
      </c>
      <c r="E23" s="42">
        <v>-4.7E-2</v>
      </c>
      <c r="F23" s="42">
        <v>-0.60899999999999999</v>
      </c>
      <c r="G23" s="42">
        <v>-0.65100000000000002</v>
      </c>
      <c r="H23" s="42">
        <v>-0.11899999999999999</v>
      </c>
      <c r="I23" s="42">
        <v>-5.3119999999999994</v>
      </c>
      <c r="J23" s="48">
        <f>('Balance sheet'!I29-'Balance sheet'!J29)+('Balance sheet'!I30-'Balance sheet'!J30)+('Balance sheet'!I16-'Balance sheet'!J16)</f>
        <v>-2.5039452961003539</v>
      </c>
      <c r="K23" s="48">
        <f>('Balance sheet'!J29-'Balance sheet'!K29)+('Balance sheet'!J30-'Balance sheet'!K30)+('Balance sheet'!J16-'Balance sheet'!K16)</f>
        <v>0.76283172207188077</v>
      </c>
    </row>
    <row r="24" spans="1:11">
      <c r="B24" t="s">
        <v>176</v>
      </c>
      <c r="E24" s="42">
        <v>22.434999999999999</v>
      </c>
      <c r="F24" s="42">
        <v>-10.269</v>
      </c>
      <c r="G24" s="42">
        <v>9.8129999999999988</v>
      </c>
      <c r="H24" s="42">
        <v>1.0369999999999999</v>
      </c>
      <c r="I24" s="42">
        <v>1.0760000000000001</v>
      </c>
      <c r="J24" s="54">
        <f>('Balance sheet'!I19-'Balance sheet'!J19)+('Balance sheet'!I31-'Balance sheet'!J31)</f>
        <v>24.313968384181617</v>
      </c>
      <c r="K24" s="54">
        <f>('Balance sheet'!J19-'Balance sheet'!K19)+('Balance sheet'!J31-'Balance sheet'!K31)</f>
        <v>0.91609964423652279</v>
      </c>
    </row>
    <row r="25" spans="1:11">
      <c r="B25" t="s">
        <v>177</v>
      </c>
      <c r="E25" s="42">
        <v>16.948</v>
      </c>
      <c r="F25" s="42">
        <v>14.025</v>
      </c>
      <c r="G25" s="42">
        <v>15.803000000000001</v>
      </c>
      <c r="H25" s="42">
        <v>14.484999999999999</v>
      </c>
      <c r="I25" s="42">
        <v>13.538999999999998</v>
      </c>
      <c r="J25" s="54">
        <f>('Balance sheet'!J56-'Balance sheet'!I56)+('Balance sheet'!J57-'Balance sheet'!I57)</f>
        <v>21.08511431609967</v>
      </c>
      <c r="K25" s="54">
        <f>('Balance sheet'!K56-'Balance sheet'!J56)+('Balance sheet'!K57-'Balance sheet'!J57)</f>
        <v>11.450666624359272</v>
      </c>
    </row>
    <row r="26" spans="1:11">
      <c r="B26" t="s">
        <v>178</v>
      </c>
      <c r="E26" s="42">
        <v>1.1380000000000001</v>
      </c>
      <c r="F26" s="42">
        <v>-0.78800000000000003</v>
      </c>
      <c r="G26" s="42">
        <v>2.665</v>
      </c>
      <c r="H26" s="42">
        <v>8.1709999999999994</v>
      </c>
      <c r="I26" s="42">
        <v>4.1760000000000002</v>
      </c>
      <c r="J26" s="54">
        <f>('Balance sheet'!J60-'Balance sheet'!I60)+('Balance sheet'!J47-'Balance sheet'!I47)</f>
        <v>2.4077351585037148</v>
      </c>
      <c r="K26" s="54">
        <f>('Balance sheet'!K60-'Balance sheet'!J60)+('Balance sheet'!K47-'Balance sheet'!J47)</f>
        <v>3.8302550939838431</v>
      </c>
    </row>
    <row r="27" spans="1:11">
      <c r="B27" t="s">
        <v>179</v>
      </c>
      <c r="E27" s="42">
        <v>0.217</v>
      </c>
      <c r="F27" s="42">
        <v>0.92899999999999994</v>
      </c>
      <c r="G27" s="42">
        <v>-0.65300000000000002</v>
      </c>
      <c r="H27" s="42">
        <v>1.2170000000000001</v>
      </c>
      <c r="I27" s="42">
        <v>6.7010000000000005</v>
      </c>
      <c r="J27" s="54">
        <f>'Balance sheet'!J58-'Balance sheet'!I58</f>
        <v>-5.0412028475744783</v>
      </c>
      <c r="K27" s="54">
        <f>'Balance sheet'!K58-'Balance sheet'!J58</f>
        <v>0.26069645784692419</v>
      </c>
    </row>
    <row r="28" spans="1:11">
      <c r="A28" s="37"/>
      <c r="B28" s="37" t="s">
        <v>147</v>
      </c>
      <c r="C28" s="37"/>
      <c r="D28" s="37"/>
      <c r="E28" s="39">
        <f t="shared" ref="E28:G28" si="2">SUM(E19:E27)</f>
        <v>104.425</v>
      </c>
      <c r="F28" s="39">
        <f t="shared" si="2"/>
        <v>154.13399999999996</v>
      </c>
      <c r="G28" s="39">
        <f t="shared" si="2"/>
        <v>177.10300000000001</v>
      </c>
      <c r="H28" s="39">
        <f>SUM(H19:H27)</f>
        <v>295.98599999999988</v>
      </c>
      <c r="I28" s="39">
        <f>SUM(I19:I27)</f>
        <v>211.08199999999943</v>
      </c>
      <c r="J28" s="39">
        <f t="shared" ref="J28:K28" si="3">SUM(J19:J27)</f>
        <v>258.06931428512831</v>
      </c>
      <c r="K28" s="39">
        <f t="shared" si="3"/>
        <v>291.27264068981469</v>
      </c>
    </row>
    <row r="29" spans="1:11">
      <c r="B29" t="s">
        <v>148</v>
      </c>
      <c r="E29" s="42">
        <v>-16.974</v>
      </c>
      <c r="F29" s="42">
        <v>-18.54</v>
      </c>
      <c r="G29" s="42">
        <v>-11.522</v>
      </c>
      <c r="H29" s="42">
        <v>-50.923999999999999</v>
      </c>
      <c r="I29" s="42">
        <v>-39.945999999999998</v>
      </c>
      <c r="J29" s="38">
        <f>-'Income Statement'!J23</f>
        <v>-59.216930408490342</v>
      </c>
      <c r="K29" s="38">
        <f>-'Income Statement'!K23</f>
        <v>-72.303099903405069</v>
      </c>
    </row>
    <row r="30" spans="1:11">
      <c r="A30" s="8" t="s">
        <v>149</v>
      </c>
      <c r="B30" s="7"/>
      <c r="C30" s="7"/>
      <c r="D30" s="8"/>
      <c r="E30" s="40">
        <f t="shared" ref="E30:G30" si="4">E28+E29</f>
        <v>87.450999999999993</v>
      </c>
      <c r="F30" s="40">
        <f t="shared" si="4"/>
        <v>135.59399999999997</v>
      </c>
      <c r="G30" s="40">
        <f t="shared" si="4"/>
        <v>165.58100000000002</v>
      </c>
      <c r="H30" s="40">
        <f>H28+H29</f>
        <v>245.06199999999987</v>
      </c>
      <c r="I30" s="40">
        <f>I28+I29</f>
        <v>171.13599999999943</v>
      </c>
      <c r="J30" s="40">
        <f t="shared" ref="J30:K30" si="5">J28+J29</f>
        <v>198.85238387663799</v>
      </c>
      <c r="K30" s="40">
        <f t="shared" si="5"/>
        <v>218.96954078640962</v>
      </c>
    </row>
    <row r="32" spans="1:11">
      <c r="A32" s="4" t="s">
        <v>150</v>
      </c>
    </row>
    <row r="33" spans="1:11">
      <c r="B33" t="s">
        <v>151</v>
      </c>
      <c r="E33" s="42">
        <v>-71.733000000000004</v>
      </c>
      <c r="F33" s="42">
        <v>-97.448999999999998</v>
      </c>
      <c r="G33" s="42">
        <v>-95.304000000000002</v>
      </c>
      <c r="H33" s="42">
        <v>-57.346000000000004</v>
      </c>
      <c r="I33" s="42">
        <v>-71.751999999999995</v>
      </c>
      <c r="J33" s="54">
        <f>('Asset Schedule'!I7-'Asset Schedule'!J7)+('Balance sheet'!I9-'Balance sheet'!J9)+('Balance sheet'!I11-'Balance sheet'!J11)+('Balance sheet'!I12-'Balance sheet'!J12)</f>
        <v>-65.503888614726364</v>
      </c>
      <c r="K33" s="54">
        <f>('Asset Schedule'!J7-'Asset Schedule'!K7)+('Balance sheet'!J9-'Balance sheet'!K9)+('Balance sheet'!J11-'Balance sheet'!K11)+('Balance sheet'!J12-'Balance sheet'!K12)</f>
        <v>-53.293572603738504</v>
      </c>
    </row>
    <row r="34" spans="1:11">
      <c r="B34" t="s">
        <v>152</v>
      </c>
      <c r="E34" s="42">
        <v>0.41399999999999998</v>
      </c>
      <c r="F34" s="42">
        <v>0.42899999999999999</v>
      </c>
      <c r="G34" s="42">
        <v>0.28799999999999998</v>
      </c>
      <c r="H34" s="42">
        <v>1.1080000000000001</v>
      </c>
      <c r="I34" s="42">
        <v>0.28500000000000003</v>
      </c>
      <c r="J34" s="38">
        <v>0</v>
      </c>
      <c r="K34" s="38">
        <v>0</v>
      </c>
    </row>
    <row r="35" spans="1:11">
      <c r="B35" t="s">
        <v>153</v>
      </c>
      <c r="E35" s="42">
        <v>0.17099999999999999</v>
      </c>
      <c r="F35" s="42">
        <v>0.33700000000000002</v>
      </c>
      <c r="G35" s="42">
        <v>0.22000000000000003</v>
      </c>
      <c r="H35" s="42">
        <v>0.33799999999999997</v>
      </c>
      <c r="I35" s="42">
        <v>1.0580000000000001</v>
      </c>
      <c r="J35" s="38">
        <v>0</v>
      </c>
      <c r="K35" s="38">
        <v>0</v>
      </c>
    </row>
    <row r="36" spans="1:11">
      <c r="B36" t="s">
        <v>180</v>
      </c>
      <c r="E36" s="42">
        <v>0</v>
      </c>
      <c r="F36" s="42">
        <v>-96.132000000000005</v>
      </c>
      <c r="G36" s="42">
        <v>0</v>
      </c>
      <c r="H36" s="42">
        <v>0</v>
      </c>
      <c r="I36" s="42">
        <v>0</v>
      </c>
      <c r="J36" s="38">
        <v>0</v>
      </c>
      <c r="K36" s="38">
        <v>0</v>
      </c>
    </row>
    <row r="37" spans="1:11">
      <c r="B37" t="s">
        <v>154</v>
      </c>
      <c r="E37" s="42">
        <v>-44.557000000000002</v>
      </c>
      <c r="F37" s="42">
        <v>-143.12899999999999</v>
      </c>
      <c r="G37" s="42">
        <v>-74</v>
      </c>
      <c r="H37" s="42">
        <v>-55</v>
      </c>
      <c r="I37" s="42">
        <v>-549.30399999999997</v>
      </c>
      <c r="J37" s="38">
        <v>0</v>
      </c>
      <c r="K37" s="38">
        <f>'Balance sheet'!J25-'Balance sheet'!K25</f>
        <v>0</v>
      </c>
    </row>
    <row r="38" spans="1:11">
      <c r="B38" t="s">
        <v>155</v>
      </c>
      <c r="E38" s="42">
        <v>0</v>
      </c>
      <c r="F38" s="42">
        <v>0</v>
      </c>
      <c r="G38" s="42">
        <v>0</v>
      </c>
      <c r="H38" s="42">
        <v>0</v>
      </c>
      <c r="I38" s="42">
        <v>-30</v>
      </c>
      <c r="J38" s="38">
        <v>0</v>
      </c>
      <c r="K38" s="38">
        <v>0</v>
      </c>
    </row>
    <row r="39" spans="1:11">
      <c r="B39" t="s">
        <v>156</v>
      </c>
      <c r="E39" s="42">
        <v>49.285000000000004</v>
      </c>
      <c r="F39" s="42">
        <v>187.80599999999998</v>
      </c>
      <c r="G39" s="42">
        <v>91.480999999999995</v>
      </c>
      <c r="H39" s="42">
        <v>6.8360000000000003</v>
      </c>
      <c r="I39" s="42">
        <v>429.55200000000002</v>
      </c>
      <c r="J39" s="38">
        <f>'Balance sheet'!I25-'Balance sheet'!J25</f>
        <v>0</v>
      </c>
      <c r="K39" s="38">
        <v>0</v>
      </c>
    </row>
    <row r="40" spans="1:11">
      <c r="B40" t="s">
        <v>157</v>
      </c>
      <c r="E40" s="42">
        <v>0.307</v>
      </c>
      <c r="F40" s="42">
        <v>0.42199999999999999</v>
      </c>
      <c r="G40" s="42">
        <v>0.27900000000000003</v>
      </c>
      <c r="H40" s="42">
        <v>3.339</v>
      </c>
      <c r="I40" s="42">
        <v>4.4369999999999994</v>
      </c>
      <c r="J40" s="38">
        <v>0</v>
      </c>
      <c r="K40" s="38">
        <v>0</v>
      </c>
    </row>
    <row r="41" spans="1:11">
      <c r="B41" t="s">
        <v>181</v>
      </c>
      <c r="E41" s="42">
        <v>0.39</v>
      </c>
      <c r="F41" s="42">
        <v>0</v>
      </c>
      <c r="G41" s="42">
        <v>0</v>
      </c>
      <c r="H41" s="42">
        <v>0</v>
      </c>
      <c r="I41" s="42">
        <v>0</v>
      </c>
      <c r="J41" s="38">
        <v>0</v>
      </c>
      <c r="K41" s="38">
        <v>0</v>
      </c>
    </row>
    <row r="42" spans="1:11">
      <c r="B42" t="s">
        <v>158</v>
      </c>
      <c r="E42" s="42">
        <v>-0.02</v>
      </c>
      <c r="F42" s="42">
        <v>-1.2E-2</v>
      </c>
      <c r="G42" s="42">
        <v>4.8000000000000001E-2</v>
      </c>
      <c r="H42" s="42">
        <v>-99.390999999999991</v>
      </c>
      <c r="I42" s="42">
        <v>77.381</v>
      </c>
      <c r="J42" s="38">
        <v>0</v>
      </c>
      <c r="K42" s="38">
        <v>0</v>
      </c>
    </row>
    <row r="43" spans="1:11">
      <c r="A43" s="8" t="s">
        <v>160</v>
      </c>
      <c r="B43" s="8"/>
      <c r="C43" s="8"/>
      <c r="D43" s="8"/>
      <c r="E43" s="40">
        <f t="shared" ref="E43:G43" si="6">SUM(E33:E42)</f>
        <v>-65.742999999999981</v>
      </c>
      <c r="F43" s="40">
        <f t="shared" si="6"/>
        <v>-147.72799999999998</v>
      </c>
      <c r="G43" s="40">
        <f t="shared" si="6"/>
        <v>-76.988</v>
      </c>
      <c r="H43" s="40">
        <f>SUM(H33:H42)</f>
        <v>-200.11599999999999</v>
      </c>
      <c r="I43" s="40">
        <f>SUM(I33:I42)</f>
        <v>-138.34299999999993</v>
      </c>
      <c r="J43" s="40">
        <f t="shared" ref="J43:K43" si="7">SUM(J33:J42)</f>
        <v>-65.503888614726364</v>
      </c>
      <c r="K43" s="40">
        <f t="shared" si="7"/>
        <v>-53.293572603738504</v>
      </c>
    </row>
    <row r="45" spans="1:11">
      <c r="A45" s="4" t="s">
        <v>161</v>
      </c>
    </row>
    <row r="46" spans="1:11">
      <c r="B46" t="s">
        <v>182</v>
      </c>
      <c r="E46" s="42">
        <v>0</v>
      </c>
      <c r="F46" s="42">
        <v>55</v>
      </c>
      <c r="G46" s="42">
        <v>0</v>
      </c>
      <c r="H46" s="42">
        <v>0</v>
      </c>
      <c r="I46" s="42">
        <v>0</v>
      </c>
      <c r="J46" s="38">
        <v>0</v>
      </c>
      <c r="K46" s="38">
        <v>0</v>
      </c>
    </row>
    <row r="47" spans="1:11">
      <c r="B47" t="s">
        <v>183</v>
      </c>
      <c r="E47" s="42">
        <v>-7.2819999999999991</v>
      </c>
      <c r="F47" s="42">
        <v>39.923999999999999</v>
      </c>
      <c r="G47" s="42">
        <v>-16.369</v>
      </c>
      <c r="H47" s="42">
        <v>0</v>
      </c>
      <c r="I47" s="42">
        <v>0</v>
      </c>
      <c r="J47" s="38">
        <v>0</v>
      </c>
      <c r="K47" s="38">
        <v>0</v>
      </c>
    </row>
    <row r="48" spans="1:11">
      <c r="B48" t="s">
        <v>184</v>
      </c>
      <c r="E48" s="42">
        <v>2.5780000000000003</v>
      </c>
      <c r="F48" s="42">
        <v>0</v>
      </c>
      <c r="G48" s="42">
        <v>0</v>
      </c>
      <c r="H48" s="42">
        <v>-23.138999999999999</v>
      </c>
      <c r="I48" s="42">
        <v>-86.915999999999997</v>
      </c>
      <c r="J48" s="38">
        <f>'Balance sheet'!J49-'Balance sheet'!I49</f>
        <v>0</v>
      </c>
      <c r="K48" s="38">
        <f>'Balance sheet'!K49-'Balance sheet'!J49</f>
        <v>0</v>
      </c>
    </row>
    <row r="49" spans="1:11">
      <c r="B49" t="s">
        <v>185</v>
      </c>
      <c r="E49" s="42">
        <v>-25</v>
      </c>
      <c r="F49" s="42">
        <v>-22.5</v>
      </c>
      <c r="G49" s="42">
        <v>25</v>
      </c>
      <c r="H49" s="42">
        <v>-40</v>
      </c>
      <c r="I49" s="42">
        <v>0</v>
      </c>
      <c r="J49" s="38">
        <v>0</v>
      </c>
      <c r="K49" s="38">
        <v>0</v>
      </c>
    </row>
    <row r="50" spans="1:11">
      <c r="B50" t="s">
        <v>162</v>
      </c>
      <c r="E50" s="42">
        <v>0</v>
      </c>
      <c r="F50" s="42">
        <v>0</v>
      </c>
      <c r="G50" s="42">
        <v>0</v>
      </c>
      <c r="H50" s="42">
        <v>100</v>
      </c>
      <c r="I50" s="42">
        <v>50</v>
      </c>
      <c r="J50" s="38">
        <v>0</v>
      </c>
      <c r="K50" s="38">
        <v>0</v>
      </c>
    </row>
    <row r="51" spans="1:11">
      <c r="B51" t="s">
        <v>163</v>
      </c>
      <c r="E51" s="42">
        <v>0</v>
      </c>
      <c r="F51" s="42">
        <v>0</v>
      </c>
      <c r="G51" s="42">
        <v>0</v>
      </c>
      <c r="H51" s="42">
        <v>-1.8030000000000002</v>
      </c>
      <c r="I51" s="42">
        <v>-3.1840000000000002</v>
      </c>
      <c r="J51" s="38">
        <v>0</v>
      </c>
      <c r="K51" s="38">
        <v>0</v>
      </c>
    </row>
    <row r="52" spans="1:11">
      <c r="B52" t="s">
        <v>164</v>
      </c>
      <c r="E52" s="42">
        <v>0</v>
      </c>
      <c r="F52" s="42">
        <v>0</v>
      </c>
      <c r="G52" s="42">
        <v>-18.201000000000001</v>
      </c>
      <c r="H52" s="42">
        <v>-10.748999999999999</v>
      </c>
      <c r="I52" s="42">
        <v>0</v>
      </c>
      <c r="J52" s="38">
        <v>0</v>
      </c>
      <c r="K52" s="38">
        <v>0</v>
      </c>
    </row>
    <row r="53" spans="1:11">
      <c r="B53" t="s">
        <v>165</v>
      </c>
      <c r="E53" s="42">
        <v>-1.355</v>
      </c>
      <c r="F53" s="42">
        <v>-1.9059999999999999</v>
      </c>
      <c r="G53" s="42">
        <v>-1.9460000000000002</v>
      </c>
      <c r="H53" s="42">
        <v>-1.6579999999999999</v>
      </c>
      <c r="I53" s="42">
        <v>-2.0059999999999998</v>
      </c>
      <c r="J53" s="38">
        <v>0</v>
      </c>
      <c r="K53" s="38">
        <v>0</v>
      </c>
    </row>
    <row r="54" spans="1:11">
      <c r="B54" t="s">
        <v>166</v>
      </c>
      <c r="E54" s="42">
        <v>0</v>
      </c>
      <c r="F54" s="42">
        <v>0</v>
      </c>
      <c r="G54" s="42">
        <v>0</v>
      </c>
      <c r="H54" s="42">
        <v>-0.85699999999999998</v>
      </c>
      <c r="I54" s="42">
        <v>-1.1679999999999999</v>
      </c>
      <c r="J54" s="38">
        <v>0</v>
      </c>
      <c r="K54" s="38">
        <v>0</v>
      </c>
    </row>
    <row r="55" spans="1:11">
      <c r="B55" t="s">
        <v>186</v>
      </c>
      <c r="E55" s="42">
        <v>3.2000000000000001E-2</v>
      </c>
      <c r="F55" s="42">
        <v>0</v>
      </c>
      <c r="G55" s="42">
        <v>0</v>
      </c>
      <c r="H55" s="42">
        <v>0</v>
      </c>
      <c r="I55" s="42">
        <v>0</v>
      </c>
      <c r="J55" s="38">
        <v>0</v>
      </c>
      <c r="K55" s="38">
        <v>0</v>
      </c>
    </row>
    <row r="56" spans="1:11">
      <c r="B56" t="s">
        <v>167</v>
      </c>
      <c r="E56" s="42">
        <v>-10.381</v>
      </c>
      <c r="F56" s="42">
        <v>-10.535</v>
      </c>
      <c r="G56" s="42">
        <v>-14.146000000000001</v>
      </c>
      <c r="H56" s="42">
        <v>-10.946999999999999</v>
      </c>
      <c r="I56" s="42">
        <v>-5.6040000000000001</v>
      </c>
      <c r="J56" s="38">
        <f>-J11</f>
        <v>-14.065810769999997</v>
      </c>
      <c r="K56" s="38">
        <f>-K11</f>
        <v>-15.894366170099996</v>
      </c>
    </row>
    <row r="57" spans="1:11">
      <c r="A57" s="8" t="s">
        <v>168</v>
      </c>
      <c r="B57" s="8"/>
      <c r="C57" s="8"/>
      <c r="D57" s="8"/>
      <c r="E57" s="40">
        <f t="shared" ref="E57:G57" si="8">SUM(E46:E56)</f>
        <v>-41.408000000000001</v>
      </c>
      <c r="F57" s="40">
        <f t="shared" si="8"/>
        <v>59.983000000000004</v>
      </c>
      <c r="G57" s="40">
        <f t="shared" si="8"/>
        <v>-25.661999999999999</v>
      </c>
      <c r="H57" s="40">
        <f>SUM(H46:H56)</f>
        <v>10.847000000000008</v>
      </c>
      <c r="I57" s="40">
        <f>SUM(I46:I56)</f>
        <v>-48.877999999999993</v>
      </c>
      <c r="J57" s="40">
        <f t="shared" ref="J57:K57" si="9">SUM(J46:J56)</f>
        <v>-14.065810769999997</v>
      </c>
      <c r="K57" s="40">
        <f t="shared" si="9"/>
        <v>-15.894366170099996</v>
      </c>
    </row>
    <row r="59" spans="1:11">
      <c r="A59" s="8" t="s">
        <v>169</v>
      </c>
      <c r="B59" s="8"/>
      <c r="C59" s="8"/>
      <c r="D59" s="8"/>
      <c r="E59" s="40">
        <f t="shared" ref="E59:G59" si="10">E30+E43+E57</f>
        <v>-19.699999999999989</v>
      </c>
      <c r="F59" s="40">
        <f t="shared" si="10"/>
        <v>47.84899999999999</v>
      </c>
      <c r="G59" s="40">
        <f t="shared" si="10"/>
        <v>62.931000000000019</v>
      </c>
      <c r="H59" s="40">
        <f>H30+H43+H57</f>
        <v>55.792999999999893</v>
      </c>
      <c r="I59" s="40">
        <f>I30+I43+I57</f>
        <v>-16.085000000000498</v>
      </c>
      <c r="J59" s="40">
        <f t="shared" ref="J59:K59" si="11">J30+J43+J57</f>
        <v>119.28268449191164</v>
      </c>
      <c r="K59" s="40">
        <f t="shared" si="11"/>
        <v>149.78160201257111</v>
      </c>
    </row>
    <row r="60" spans="1:11">
      <c r="A60" t="s">
        <v>170</v>
      </c>
      <c r="E60" s="42">
        <v>-23.175000000000001</v>
      </c>
      <c r="F60" s="42">
        <v>-42.896000000000001</v>
      </c>
      <c r="G60" s="42">
        <v>5.0830000000000002</v>
      </c>
      <c r="H60" s="42">
        <v>68.673000000000002</v>
      </c>
      <c r="I60" s="42">
        <v>124.14400000000001</v>
      </c>
      <c r="J60" s="38">
        <f>I62</f>
        <v>109.89399999999949</v>
      </c>
      <c r="K60" s="38">
        <f>J62</f>
        <v>229.17668449191115</v>
      </c>
    </row>
    <row r="61" spans="1:11">
      <c r="A61" t="s">
        <v>171</v>
      </c>
      <c r="E61" s="42">
        <v>-2.0999999999999998E-2</v>
      </c>
      <c r="F61" s="42">
        <v>0.13</v>
      </c>
      <c r="G61" s="42">
        <v>0.65900000000000003</v>
      </c>
      <c r="H61" s="42">
        <v>-0.32200000000000001</v>
      </c>
      <c r="I61" s="42">
        <v>1.8350000000000002</v>
      </c>
      <c r="J61" s="38">
        <v>0</v>
      </c>
      <c r="K61" s="38">
        <v>0</v>
      </c>
    </row>
    <row r="62" spans="1:11" ht="15.75" thickBot="1">
      <c r="A62" s="11" t="s">
        <v>172</v>
      </c>
      <c r="B62" s="11"/>
      <c r="C62" s="11"/>
      <c r="D62" s="11"/>
      <c r="E62" s="41">
        <f t="shared" ref="E62:G62" si="12">E60+E61+E59</f>
        <v>-42.895999999999987</v>
      </c>
      <c r="F62" s="41">
        <f t="shared" si="12"/>
        <v>5.0829999999999913</v>
      </c>
      <c r="G62" s="41">
        <f t="shared" si="12"/>
        <v>68.673000000000016</v>
      </c>
      <c r="H62" s="41">
        <f>H60+H61+H59</f>
        <v>124.14399999999989</v>
      </c>
      <c r="I62" s="41">
        <f>I60+I61+I59</f>
        <v>109.89399999999949</v>
      </c>
      <c r="J62" s="41">
        <f t="shared" ref="J62:K62" si="13">J60+J61+J59</f>
        <v>229.17668449191115</v>
      </c>
      <c r="K62" s="41">
        <f t="shared" si="13"/>
        <v>378.95828650448226</v>
      </c>
    </row>
    <row r="63" spans="1:11" ht="15.75" thickTop="1"/>
    <row r="64" spans="1:11">
      <c r="J64" s="56"/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showGridLines="0" workbookViewId="0">
      <pane xSplit="3" ySplit="2" topLeftCell="D3" activePane="bottomRight" state="frozen"/>
      <selection activeCell="F44" sqref="F44"/>
      <selection pane="topRight" activeCell="F44" sqref="F44"/>
      <selection pane="bottomLeft" activeCell="F44" sqref="F44"/>
      <selection pane="bottomRight" activeCell="K11" sqref="K11"/>
    </sheetView>
  </sheetViews>
  <sheetFormatPr defaultRowHeight="15"/>
  <cols>
    <col min="1" max="1" width="4.28515625" style="4" customWidth="1"/>
    <col min="2" max="2" width="4.28515625" customWidth="1"/>
    <col min="3" max="3" width="43" customWidth="1"/>
    <col min="4" max="4" width="3.7109375" customWidth="1"/>
    <col min="5" max="6" width="9.140625" style="38"/>
    <col min="7" max="7" width="10.140625" style="38" bestFit="1" customWidth="1"/>
    <col min="8" max="16384" width="9.140625" style="38"/>
  </cols>
  <sheetData>
    <row r="1" spans="1:15" customFormat="1" ht="18.75">
      <c r="A1" s="2" t="s">
        <v>203</v>
      </c>
    </row>
    <row r="2" spans="1:15" customFormat="1">
      <c r="A2" s="1" t="s">
        <v>1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4" spans="1:15">
      <c r="A4" s="4" t="s">
        <v>206</v>
      </c>
      <c r="E4" s="6">
        <v>271.75700000000001</v>
      </c>
      <c r="F4" s="6">
        <v>372.048</v>
      </c>
      <c r="G4" s="48">
        <v>516.98500000000001</v>
      </c>
      <c r="H4" s="6">
        <v>601.55799999999999</v>
      </c>
      <c r="I4" s="6">
        <v>660.06799999999998</v>
      </c>
      <c r="J4" s="38">
        <f>I7</f>
        <v>727.64599999999996</v>
      </c>
      <c r="K4" s="38">
        <f>J7</f>
        <v>787.64599999999996</v>
      </c>
    </row>
    <row r="5" spans="1:15">
      <c r="B5" t="s">
        <v>204</v>
      </c>
      <c r="E5" s="6">
        <f>E7-E4</f>
        <v>100.291</v>
      </c>
      <c r="F5" s="6">
        <f>F7-F4</f>
        <v>158.48599999999999</v>
      </c>
      <c r="G5" s="6">
        <f>G7-G4</f>
        <v>84.572999999999979</v>
      </c>
      <c r="H5" s="6">
        <f>H7-H4</f>
        <v>58.509999999999991</v>
      </c>
      <c r="I5" s="6">
        <f>I7-I4</f>
        <v>67.577999999999975</v>
      </c>
      <c r="J5" s="38">
        <v>60</v>
      </c>
      <c r="K5" s="38">
        <v>55</v>
      </c>
      <c r="O5" s="38">
        <v>10</v>
      </c>
    </row>
    <row r="6" spans="1:15">
      <c r="B6" t="s">
        <v>205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38">
        <v>0</v>
      </c>
      <c r="K6" s="38">
        <v>0</v>
      </c>
    </row>
    <row r="7" spans="1:15">
      <c r="A7" s="37" t="s">
        <v>207</v>
      </c>
      <c r="B7" s="37"/>
      <c r="C7" s="37"/>
      <c r="D7" s="37"/>
      <c r="E7" s="46">
        <v>372.048</v>
      </c>
      <c r="F7" s="47">
        <v>530.53399999999999</v>
      </c>
      <c r="G7" s="46">
        <v>601.55799999999999</v>
      </c>
      <c r="H7" s="46">
        <v>660.06799999999998</v>
      </c>
      <c r="I7" s="46">
        <v>727.64599999999996</v>
      </c>
      <c r="J7" s="39">
        <f>J4+J5-J6</f>
        <v>787.64599999999996</v>
      </c>
      <c r="K7" s="39">
        <f>K4+K5-K6</f>
        <v>842.64599999999996</v>
      </c>
    </row>
    <row r="8" spans="1:15">
      <c r="E8" s="6"/>
      <c r="F8" s="6"/>
      <c r="G8" s="6"/>
      <c r="H8" s="6"/>
      <c r="I8" s="6"/>
    </row>
    <row r="9" spans="1:15">
      <c r="A9" s="4" t="s">
        <v>208</v>
      </c>
      <c r="E9" s="6"/>
      <c r="F9" s="6"/>
      <c r="G9" s="6"/>
      <c r="H9" s="6"/>
      <c r="I9" s="6"/>
    </row>
    <row r="10" spans="1:15">
      <c r="A10"/>
      <c r="B10" t="s">
        <v>209</v>
      </c>
      <c r="E10" s="6">
        <v>18.756999999999998</v>
      </c>
      <c r="F10" s="6">
        <v>45.86</v>
      </c>
      <c r="G10" s="48">
        <v>76.794000000000011</v>
      </c>
      <c r="H10" s="6">
        <v>119.29600000000001</v>
      </c>
      <c r="I10" s="6">
        <v>164.49299999999999</v>
      </c>
      <c r="J10" s="38">
        <f>I13</f>
        <v>212.44699999999997</v>
      </c>
      <c r="K10" s="38">
        <f>J13</f>
        <v>268.41511605818255</v>
      </c>
    </row>
    <row r="11" spans="1:15">
      <c r="A11"/>
      <c r="B11" t="s">
        <v>210</v>
      </c>
      <c r="E11" s="6">
        <v>27.679000000000002</v>
      </c>
      <c r="F11" s="6">
        <v>34.724000000000004</v>
      </c>
      <c r="G11" s="6">
        <v>45.393000000000001</v>
      </c>
      <c r="H11" s="6">
        <v>46.966999999999999</v>
      </c>
      <c r="I11" s="6">
        <v>50.081000000000003</v>
      </c>
      <c r="J11" s="38">
        <f>J7*J17</f>
        <v>55.968116058182574</v>
      </c>
      <c r="K11" s="38">
        <f>K7*K17</f>
        <v>59.313579594792444</v>
      </c>
    </row>
    <row r="12" spans="1:15">
      <c r="A12"/>
      <c r="B12" t="s">
        <v>211</v>
      </c>
      <c r="E12" s="6">
        <f>E10+E11-E13</f>
        <v>0.57600000000000051</v>
      </c>
      <c r="F12" s="6">
        <f>F10+F11-F13</f>
        <v>1.2160000000000082</v>
      </c>
      <c r="G12" s="6">
        <f t="shared" ref="G12:I12" si="0">G10+G11-G13</f>
        <v>2.8910000000000053</v>
      </c>
      <c r="H12" s="6">
        <f t="shared" si="0"/>
        <v>1.7700000000000102</v>
      </c>
      <c r="I12" s="6">
        <f t="shared" si="0"/>
        <v>2.127000000000038</v>
      </c>
      <c r="J12" s="38">
        <v>0</v>
      </c>
      <c r="K12" s="38">
        <v>0</v>
      </c>
    </row>
    <row r="13" spans="1:15">
      <c r="A13" s="37"/>
      <c r="B13" s="37" t="s">
        <v>212</v>
      </c>
      <c r="C13" s="37"/>
      <c r="D13" s="37"/>
      <c r="E13" s="46">
        <v>45.86</v>
      </c>
      <c r="F13" s="47">
        <v>79.367999999999995</v>
      </c>
      <c r="G13" s="46">
        <v>119.29600000000001</v>
      </c>
      <c r="H13" s="46">
        <v>164.49299999999999</v>
      </c>
      <c r="I13" s="46">
        <v>212.44699999999997</v>
      </c>
      <c r="J13" s="39">
        <f>J10+J11-J12</f>
        <v>268.41511605818255</v>
      </c>
      <c r="K13" s="39">
        <f>K10+K11-K12</f>
        <v>327.72869565297498</v>
      </c>
    </row>
    <row r="14" spans="1:15">
      <c r="A14"/>
      <c r="E14" s="6"/>
      <c r="F14" s="6"/>
      <c r="G14" s="6"/>
      <c r="H14" s="6"/>
      <c r="I14" s="6"/>
    </row>
    <row r="15" spans="1:15">
      <c r="B15" s="4" t="s">
        <v>213</v>
      </c>
      <c r="C15" s="4"/>
      <c r="D15" s="4"/>
      <c r="E15" s="17">
        <f>E7-E13</f>
        <v>326.18799999999999</v>
      </c>
      <c r="F15" s="17">
        <f t="shared" ref="F15:K15" si="1">F7-F13</f>
        <v>451.166</v>
      </c>
      <c r="G15" s="17">
        <f t="shared" si="1"/>
        <v>482.262</v>
      </c>
      <c r="H15" s="17">
        <f t="shared" si="1"/>
        <v>495.57499999999999</v>
      </c>
      <c r="I15" s="17">
        <f t="shared" si="1"/>
        <v>515.19899999999996</v>
      </c>
      <c r="J15" s="17">
        <f>J7-J13</f>
        <v>519.23088394181741</v>
      </c>
      <c r="K15" s="17">
        <f t="shared" si="1"/>
        <v>514.91730434702504</v>
      </c>
    </row>
    <row r="16" spans="1:15">
      <c r="E16" s="6"/>
      <c r="F16" s="6"/>
      <c r="G16" s="6"/>
      <c r="H16" s="6"/>
      <c r="I16" s="6"/>
    </row>
    <row r="17" spans="2:11">
      <c r="B17" s="4" t="s">
        <v>215</v>
      </c>
      <c r="E17" s="27">
        <f>E11/E7</f>
        <v>7.4396314454048942E-2</v>
      </c>
      <c r="F17" s="27">
        <f t="shared" ref="F17:I17" si="2">F11/F7</f>
        <v>6.5451036125865641E-2</v>
      </c>
      <c r="G17" s="27">
        <f t="shared" si="2"/>
        <v>7.54590579794467E-2</v>
      </c>
      <c r="H17" s="27">
        <f t="shared" si="2"/>
        <v>7.1154790112533867E-2</v>
      </c>
      <c r="I17" s="27">
        <f t="shared" si="2"/>
        <v>6.88260500298222E-2</v>
      </c>
      <c r="J17" s="49">
        <f>AVERAGE(E17:I17)</f>
        <v>7.1057449740343476E-2</v>
      </c>
      <c r="K17" s="49">
        <f>AVERAGE(F17:J17)</f>
        <v>7.0389676797602371E-2</v>
      </c>
    </row>
    <row r="18" spans="2:11">
      <c r="B18" s="4" t="s">
        <v>214</v>
      </c>
      <c r="E18" s="6"/>
      <c r="F18" s="49">
        <f>F15/E15-1</f>
        <v>0.38314714213888923</v>
      </c>
      <c r="G18" s="49">
        <f t="shared" ref="G18:K18" si="3">G15/F15-1</f>
        <v>6.8923633429823994E-2</v>
      </c>
      <c r="H18" s="49">
        <f t="shared" si="3"/>
        <v>2.7605326565228072E-2</v>
      </c>
      <c r="I18" s="49">
        <f t="shared" si="3"/>
        <v>3.9598446249306196E-2</v>
      </c>
      <c r="J18" s="49">
        <f t="shared" si="3"/>
        <v>7.8258768782886179E-3</v>
      </c>
      <c r="K18" s="49">
        <f t="shared" si="3"/>
        <v>-8.3076329397919757E-3</v>
      </c>
    </row>
    <row r="19" spans="2:11">
      <c r="E19" s="6"/>
      <c r="F19" s="6"/>
      <c r="G19" s="6"/>
      <c r="H19" s="6"/>
      <c r="I19" s="6"/>
    </row>
    <row r="20" spans="2:11">
      <c r="E20" s="6"/>
      <c r="F20" s="6"/>
      <c r="G20" s="6"/>
      <c r="H20" s="6"/>
      <c r="I20" s="6"/>
    </row>
  </sheetData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7"/>
  <sheetViews>
    <sheetView showGridLines="0" workbookViewId="0">
      <pane xSplit="3" ySplit="2" topLeftCell="D27" activePane="bottomRight" state="frozen"/>
      <selection pane="topRight" activeCell="D1" sqref="D1"/>
      <selection pane="bottomLeft" activeCell="A3" sqref="A3"/>
      <selection pane="bottomRight" activeCell="J39" sqref="J39"/>
    </sheetView>
  </sheetViews>
  <sheetFormatPr defaultRowHeight="15"/>
  <cols>
    <col min="1" max="1" width="4.28515625" style="4" customWidth="1"/>
    <col min="2" max="2" width="4.28515625" customWidth="1"/>
    <col min="3" max="3" width="31.5703125" customWidth="1"/>
    <col min="4" max="4" width="3.7109375" customWidth="1"/>
  </cols>
  <sheetData>
    <row r="1" spans="1:11" ht="18.75">
      <c r="A1" s="2" t="s">
        <v>112</v>
      </c>
    </row>
    <row r="2" spans="1:11">
      <c r="A2" s="1"/>
      <c r="B2" s="4" t="s">
        <v>130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4" spans="1:11">
      <c r="A4" s="4" t="s">
        <v>125</v>
      </c>
    </row>
    <row r="5" spans="1:11">
      <c r="B5" t="s">
        <v>118</v>
      </c>
      <c r="E5" s="5">
        <f>'Income Statement'!E5-('Income Statement'!E16-'Income Statement'!E13-'Income Statement'!E14)</f>
        <v>112.71899999999982</v>
      </c>
      <c r="F5" s="5">
        <f>'Income Statement'!F5-('Income Statement'!F16-'Income Statement'!F13-'Income Statement'!F14)</f>
        <v>134.15200000000004</v>
      </c>
      <c r="G5" s="5">
        <f>'Income Statement'!G5-('Income Statement'!G16-'Income Statement'!G13-'Income Statement'!G14)</f>
        <v>140.92600000000016</v>
      </c>
      <c r="H5" s="5">
        <f>'Income Statement'!H5-('Income Statement'!H16-'Income Statement'!H13-'Income Statement'!H14)</f>
        <v>242.4670000000001</v>
      </c>
      <c r="I5" s="5">
        <f>'Income Statement'!I5-('Income Statement'!I16-'Income Statement'!I13-'Income Statement'!I14)</f>
        <v>210.72799999999961</v>
      </c>
      <c r="J5" s="5">
        <f>'Income Statement'!J5-('Income Statement'!J16-'Income Statement'!J13-'Income Statement'!J14)</f>
        <v>232.61901211836266</v>
      </c>
      <c r="K5" s="5">
        <f>'Income Statement'!K5-('Income Statement'!K16-'Income Statement'!K13-'Income Statement'!K14)</f>
        <v>271.28139373141767</v>
      </c>
    </row>
    <row r="6" spans="1:11">
      <c r="B6" t="s">
        <v>113</v>
      </c>
      <c r="E6" s="27">
        <f>E5/'Income Statement'!E5</f>
        <v>7.0871280592275779E-2</v>
      </c>
      <c r="F6" s="27">
        <f>F5/'Income Statement'!F5</f>
        <v>7.9301377984988847E-2</v>
      </c>
      <c r="G6" s="27">
        <f>G5/'Income Statement'!G5</f>
        <v>6.5872571075731134E-2</v>
      </c>
      <c r="H6" s="27">
        <f>H5/'Income Statement'!H5</f>
        <v>0.12472543809021171</v>
      </c>
      <c r="I6" s="27">
        <f>I5/'Income Statement'!I5</f>
        <v>9.3934475701751369E-2</v>
      </c>
      <c r="J6" s="27">
        <f>J5/'Income Statement'!J5</f>
        <v>9.0958465713170886E-2</v>
      </c>
      <c r="K6" s="27">
        <f>K5/'Income Statement'!K5</f>
        <v>9.3872737645216225E-2</v>
      </c>
    </row>
    <row r="7" spans="1:11">
      <c r="B7" t="s">
        <v>119</v>
      </c>
      <c r="I7" s="27">
        <f>(I5/E5)^(1/4)-1</f>
        <v>0.16931435022844998</v>
      </c>
    </row>
    <row r="8" spans="1:11">
      <c r="I8" s="27"/>
    </row>
    <row r="9" spans="1:11">
      <c r="B9" t="s">
        <v>114</v>
      </c>
      <c r="E9" s="27">
        <f>'Income Statement'!E25/'Income Statement'!E7</f>
        <v>3.5600211144179682E-2</v>
      </c>
      <c r="F9" s="27">
        <f>'Income Statement'!F25/'Income Statement'!F7</f>
        <v>3.6930576142172288E-2</v>
      </c>
      <c r="G9" s="27">
        <f>'Income Statement'!G25/'Income Statement'!G7</f>
        <v>2.3242850997530397E-2</v>
      </c>
      <c r="H9" s="27">
        <f>'Income Statement'!H25/'Income Statement'!H7</f>
        <v>6.4587612427154939E-2</v>
      </c>
      <c r="I9" s="27">
        <f>'Income Statement'!I25/'Income Statement'!I7</f>
        <v>5.8843519029672969E-2</v>
      </c>
      <c r="J9" s="27">
        <f>'Income Statement'!J25/'Income Statement'!J7</f>
        <v>4.4460871674182986E-2</v>
      </c>
      <c r="K9" s="27">
        <f>'Income Statement'!K25/'Income Statement'!K7</f>
        <v>4.6772220409026177E-2</v>
      </c>
    </row>
    <row r="10" spans="1:11">
      <c r="B10" t="s">
        <v>120</v>
      </c>
      <c r="I10" s="27">
        <f>('Income Statement'!I18/'Income Statement'!E18)^(1/4)-1</f>
        <v>0.19776285038484032</v>
      </c>
    </row>
    <row r="11" spans="1:11">
      <c r="I11" s="27"/>
    </row>
    <row r="12" spans="1:11">
      <c r="B12" t="s">
        <v>116</v>
      </c>
      <c r="E12" s="27"/>
      <c r="F12" s="27">
        <f>'Income Statement'!F25/AVERAGE('Balance sheet'!E40:F40)</f>
        <v>0.16828416487354281</v>
      </c>
      <c r="G12" s="27">
        <f>'Income Statement'!G25/AVERAGE('Balance sheet'!F40:G40)</f>
        <v>0.11875899693880854</v>
      </c>
      <c r="H12" s="27">
        <f>'Income Statement'!H25/AVERAGE('Balance sheet'!G40:H40)</f>
        <v>0.23082716273342443</v>
      </c>
      <c r="I12" s="27">
        <f>'Income Statement'!I25/AVERAGE('Balance sheet'!H40:I40)</f>
        <v>0.17695057926323482</v>
      </c>
      <c r="J12" s="27"/>
      <c r="K12" s="27"/>
    </row>
    <row r="13" spans="1:11">
      <c r="E13" s="27"/>
      <c r="F13" s="27"/>
      <c r="G13" s="27"/>
      <c r="H13" s="27"/>
      <c r="I13" s="27"/>
      <c r="J13" s="27"/>
      <c r="K13" s="27"/>
    </row>
    <row r="14" spans="1:11">
      <c r="A14"/>
      <c r="B14" t="s">
        <v>122</v>
      </c>
      <c r="E14" s="27">
        <f>'Income Statement'!E25/'Income Statement'!E7</f>
        <v>3.5600211144179682E-2</v>
      </c>
      <c r="F14" s="27">
        <f>'Income Statement'!F25/'Income Statement'!F7</f>
        <v>3.6930576142172288E-2</v>
      </c>
      <c r="G14" s="27">
        <f>'Income Statement'!G25/'Income Statement'!G7</f>
        <v>2.3242850997530397E-2</v>
      </c>
      <c r="H14" s="27">
        <f>'Income Statement'!H25/'Income Statement'!H7</f>
        <v>6.4587612427154939E-2</v>
      </c>
      <c r="I14" s="27">
        <f>'Income Statement'!I25/'Income Statement'!I7</f>
        <v>5.8843519029672969E-2</v>
      </c>
      <c r="J14" s="27"/>
      <c r="K14" s="27"/>
    </row>
    <row r="15" spans="1:11">
      <c r="B15" t="s">
        <v>123</v>
      </c>
      <c r="E15" s="27"/>
      <c r="F15" s="35">
        <f>'Income Statement'!F7/AVERAGE('Balance sheet'!E34,'Balance sheet'!F34)</f>
        <v>2.4975791488626893</v>
      </c>
      <c r="G15" s="35">
        <f>'Income Statement'!G7/AVERAGE('Balance sheet'!F34,'Balance sheet'!G34)</f>
        <v>2.7646036763905326</v>
      </c>
      <c r="H15" s="35">
        <f>'Income Statement'!H7/AVERAGE('Balance sheet'!G34,'Balance sheet'!H34)</f>
        <v>2.2006382883896842</v>
      </c>
      <c r="I15" s="35">
        <f>'Income Statement'!I7/AVERAGE('Balance sheet'!H34,'Balance sheet'!I34)</f>
        <v>2.1905872030840241</v>
      </c>
      <c r="J15" s="27"/>
      <c r="K15" s="27"/>
    </row>
    <row r="16" spans="1:11">
      <c r="B16" t="s">
        <v>124</v>
      </c>
      <c r="F16" s="6">
        <f>AVERAGE('Balance sheet'!E34:F34)/AVERAGE('Balance sheet'!E40:F40)</f>
        <v>1.824474966651249</v>
      </c>
      <c r="G16" s="6">
        <f>AVERAGE('Balance sheet'!F34:G34)/AVERAGE('Balance sheet'!F40:G40)</f>
        <v>1.8481798947216765</v>
      </c>
      <c r="H16" s="6">
        <f>AVERAGE('Balance sheet'!G34:H34)/AVERAGE('Balance sheet'!G40:H40)</f>
        <v>1.6240111922863378</v>
      </c>
      <c r="I16" s="6">
        <f>AVERAGE('Balance sheet'!H34:I34)/AVERAGE('Balance sheet'!H40:I40)</f>
        <v>1.3727542766087704</v>
      </c>
    </row>
    <row r="17" spans="1:16">
      <c r="B17" s="4" t="s">
        <v>121</v>
      </c>
      <c r="E17" s="7"/>
      <c r="F17" s="43">
        <f>F14*F15*F16</f>
        <v>0.16828416487354284</v>
      </c>
      <c r="G17" s="43">
        <f t="shared" ref="G17:I17" si="0">G14*G15*G16</f>
        <v>0.11875899693880852</v>
      </c>
      <c r="H17" s="43">
        <f t="shared" si="0"/>
        <v>0.23082716273342438</v>
      </c>
      <c r="I17" s="43">
        <f t="shared" si="0"/>
        <v>0.17695057926323482</v>
      </c>
    </row>
    <row r="18" spans="1:16">
      <c r="F18" s="36" t="b">
        <f>F17=F12</f>
        <v>1</v>
      </c>
      <c r="G18" s="36" t="b">
        <f t="shared" ref="G18:I18" si="1">G17=G12</f>
        <v>1</v>
      </c>
      <c r="H18" s="36" t="b">
        <f t="shared" si="1"/>
        <v>1</v>
      </c>
      <c r="I18" s="36" t="b">
        <f t="shared" si="1"/>
        <v>1</v>
      </c>
    </row>
    <row r="20" spans="1:16">
      <c r="B20" t="s">
        <v>115</v>
      </c>
      <c r="F20" s="27">
        <f>('Income Statement'!F25+'Income Statement'!F13*(1-0.32))/AVERAGE('Balance sheet'!E34:F34)</f>
        <v>0.10379451606858769</v>
      </c>
      <c r="G20" s="27">
        <f>('Income Statement'!G25+'Income Statement'!G13*(1-0.32))/AVERAGE('Balance sheet'!F34:G34)</f>
        <v>7.8397607569501787E-2</v>
      </c>
      <c r="H20" s="27">
        <f>('Income Statement'!H25+'Income Statement'!H13*(1-0.32))/AVERAGE('Balance sheet'!G34:H34)</f>
        <v>0.15125816830300692</v>
      </c>
      <c r="I20" s="27">
        <f>('Income Statement'!I25+'Income Statement'!I13*(1-0.32))/AVERAGE('Balance sheet'!H34:I34)</f>
        <v>0.13320357706470226</v>
      </c>
    </row>
    <row r="21" spans="1:16">
      <c r="B21" t="s">
        <v>117</v>
      </c>
      <c r="F21" s="27">
        <f>('Income Statement'!F18+'Income Statement'!F13)/('Balance sheet'!F40+'Balance sheet'!F45+'Balance sheet'!F54)</f>
        <v>0.19133137217688356</v>
      </c>
      <c r="G21" s="27">
        <f>('Income Statement'!G18+'Income Statement'!G13)/('Balance sheet'!G40+'Balance sheet'!G45+'Balance sheet'!G54)</f>
        <v>0.17494881484271402</v>
      </c>
      <c r="H21" s="27">
        <f>('Income Statement'!H18+'Income Statement'!H13)/('Balance sheet'!H40+'Balance sheet'!H45+'Balance sheet'!H54)</f>
        <v>0.27865760257237965</v>
      </c>
      <c r="I21" s="27">
        <f>('Income Statement'!I18+'Income Statement'!I13)/('Balance sheet'!I40+'Balance sheet'!I45+'Balance sheet'!I54)</f>
        <v>0.20408676397508838</v>
      </c>
    </row>
    <row r="23" spans="1:16">
      <c r="A23" s="4" t="s">
        <v>126</v>
      </c>
    </row>
    <row r="24" spans="1:16">
      <c r="B24" t="s">
        <v>127</v>
      </c>
      <c r="E24" s="38">
        <f>(E5-'Income Statement'!E14)/'Income Statement'!E13</f>
        <v>7.7862258953167887</v>
      </c>
      <c r="F24" s="38">
        <f>(F5-'Income Statement'!F14)/'Income Statement'!F13</f>
        <v>8.3924773022049308</v>
      </c>
      <c r="G24" s="38">
        <f>(G5-'Income Statement'!G14)/'Income Statement'!G13</f>
        <v>5.6839952909102269</v>
      </c>
      <c r="H24" s="38">
        <f>(H5-'Income Statement'!H14)/'Income Statement'!H13</f>
        <v>16.123444332324262</v>
      </c>
      <c r="I24" s="38">
        <f>(I5-'Income Statement'!I14)/'Income Statement'!I13</f>
        <v>24.298097575943476</v>
      </c>
    </row>
    <row r="25" spans="1:16">
      <c r="B25" t="s">
        <v>128</v>
      </c>
      <c r="E25" s="38">
        <f>('Balance sheet'!E45+'Balance sheet'!E54)/'Balance sheet'!E40</f>
        <v>0.34330490204163383</v>
      </c>
      <c r="F25" s="38">
        <f>('Balance sheet'!F45+'Balance sheet'!F54)/'Balance sheet'!F40</f>
        <v>0.34845572909617517</v>
      </c>
      <c r="G25" s="38">
        <f>('Balance sheet'!G45+'Balance sheet'!G54)/'Balance sheet'!G40</f>
        <v>0.29233257054275008</v>
      </c>
      <c r="H25" s="38">
        <f>('Balance sheet'!H45+'Balance sheet'!H54)/'Balance sheet'!H40</f>
        <v>8.0500630727844733E-2</v>
      </c>
      <c r="I25" s="38">
        <f>('Balance sheet'!I45+'Balance sheet'!I54)/'Balance sheet'!I40</f>
        <v>0</v>
      </c>
    </row>
    <row r="26" spans="1:16">
      <c r="B26" t="s">
        <v>129</v>
      </c>
      <c r="E26" s="38">
        <f>('Balance sheet'!E45+'Balance sheet'!E54)/'Balance sheet'!E34</f>
        <v>0.1914119718078573</v>
      </c>
      <c r="F26" s="38">
        <f>('Balance sheet'!F45+'Balance sheet'!F54)/'Balance sheet'!F34</f>
        <v>0.18832164549201316</v>
      </c>
      <c r="G26" s="38">
        <f>('Balance sheet'!G45+'Balance sheet'!G54)/'Balance sheet'!G34</f>
        <v>0.1583452870644802</v>
      </c>
      <c r="H26" s="38">
        <f>('Balance sheet'!H45+'Balance sheet'!H54)/'Balance sheet'!H34</f>
        <v>5.4479066490442214E-2</v>
      </c>
      <c r="I26" s="38">
        <f>('Balance sheet'!I45+'Balance sheet'!I54)/'Balance sheet'!I34</f>
        <v>0</v>
      </c>
    </row>
    <row r="28" spans="1:16">
      <c r="A28" s="4" t="s">
        <v>193</v>
      </c>
    </row>
    <row r="29" spans="1:16">
      <c r="B29" t="s">
        <v>194</v>
      </c>
      <c r="E29" s="6">
        <f>SUM('Balance sheet'!E6:E12)-'Balance sheet'!E8</f>
        <v>345.68999999999994</v>
      </c>
      <c r="F29" s="6">
        <f>SUM('Balance sheet'!F6:F12)-'Balance sheet'!F8</f>
        <v>478.45499999999993</v>
      </c>
      <c r="G29" s="6">
        <f>SUM('Balance sheet'!G6:G12)-'Balance sheet'!G8</f>
        <v>505.91599999999988</v>
      </c>
      <c r="H29" s="6">
        <f>SUM('Balance sheet'!H6:H12)-'Balance sheet'!H8</f>
        <v>513.05600000000004</v>
      </c>
      <c r="I29" s="6">
        <f>SUM('Balance sheet'!I6:I12)-'Balance sheet'!I8</f>
        <v>525.80399999999997</v>
      </c>
    </row>
    <row r="30" spans="1:16">
      <c r="A30" s="44"/>
      <c r="B30" t="s">
        <v>187</v>
      </c>
      <c r="F30" s="6">
        <f>'Income Statement'!F5/AVERAGE('Ratio analysis'!E29:F29)</f>
        <v>4.105280017472654</v>
      </c>
      <c r="G30" s="6">
        <f>'Income Statement'!G5/AVERAGE('Ratio analysis'!F29:G29)</f>
        <v>4.3466802658753672</v>
      </c>
      <c r="H30" s="6">
        <f>'Income Statement'!H5/AVERAGE('Ratio analysis'!G29:H29)</f>
        <v>3.8156220190544983</v>
      </c>
      <c r="I30" s="6">
        <f>'Income Statement'!I5/AVERAGE('Ratio analysis'!H29:I29)</f>
        <v>4.3188706851741321</v>
      </c>
      <c r="L30" s="5"/>
      <c r="M30" s="5"/>
      <c r="N30" s="5"/>
      <c r="O30" s="5"/>
      <c r="P30" s="5"/>
    </row>
    <row r="31" spans="1:16">
      <c r="A31" s="44"/>
      <c r="B31" t="s">
        <v>188</v>
      </c>
      <c r="E31" s="38"/>
      <c r="F31" s="38">
        <f>'Income Statement'!F5/AVERAGE('Balance sheet'!F32-'Balance sheet'!F62,'Balance sheet'!E32-'Balance sheet'!E62)</f>
        <v>113.81390654960124</v>
      </c>
      <c r="G31" s="38">
        <f>'Income Statement'!G5/AVERAGE('Balance sheet'!G32-'Balance sheet'!G62,'Balance sheet'!F32-'Balance sheet'!F62)</f>
        <v>340.80015929908308</v>
      </c>
      <c r="H31" s="38">
        <f>'Income Statement'!H5/AVERAGE('Balance sheet'!H32-'Balance sheet'!H62,'Balance sheet'!G32-'Balance sheet'!G62)</f>
        <v>18.870913256193209</v>
      </c>
      <c r="I31" s="38">
        <f>'Income Statement'!I5/AVERAGE('Balance sheet'!I32-'Balance sheet'!I62,'Balance sheet'!H32-'Balance sheet'!H62)</f>
        <v>10.614815358081588</v>
      </c>
      <c r="L31" s="6"/>
      <c r="M31" s="6"/>
      <c r="N31" s="6"/>
      <c r="O31" s="6"/>
      <c r="P31" s="6"/>
    </row>
    <row r="32" spans="1:16">
      <c r="A32" s="44"/>
      <c r="B32" t="s">
        <v>195</v>
      </c>
      <c r="E32" s="38"/>
      <c r="F32" s="38">
        <f>365/F31</f>
        <v>3.2069894713694707</v>
      </c>
      <c r="G32" s="38">
        <f t="shared" ref="G32:I32" si="2">365/G31</f>
        <v>1.0710088890530105</v>
      </c>
      <c r="H32" s="38">
        <f t="shared" si="2"/>
        <v>19.341936187439753</v>
      </c>
      <c r="I32" s="38">
        <f t="shared" si="2"/>
        <v>34.3859019386623</v>
      </c>
      <c r="L32" s="6"/>
      <c r="M32" s="6"/>
      <c r="N32" s="6"/>
      <c r="O32" s="6"/>
      <c r="P32" s="6"/>
    </row>
    <row r="33" spans="1:16">
      <c r="A33" s="44"/>
      <c r="B33" t="s">
        <v>196</v>
      </c>
      <c r="E33" s="38">
        <f>'Income Statement'!E10+37.542+18.111+2.947+42.772</f>
        <v>1375.7979999999998</v>
      </c>
      <c r="F33" s="38">
        <f>'Income Statement'!F10+30.486+20.227+1.449+50.423</f>
        <v>1345.1000000000001</v>
      </c>
      <c r="G33" s="38">
        <f>'Income Statement'!G10+27.908+13.476+1.096+39.789</f>
        <v>1665.346</v>
      </c>
      <c r="H33" s="38">
        <f>'Income Statement'!H10+36.138+19.22+1.608</f>
        <v>1423.1659999999999</v>
      </c>
      <c r="I33" s="38">
        <f>'Income Statement'!I10+40.631+24.492+2.06</f>
        <v>1694.557</v>
      </c>
      <c r="J33" s="38"/>
      <c r="K33" s="38"/>
      <c r="M33" s="6"/>
      <c r="N33" s="45"/>
      <c r="O33" s="45"/>
    </row>
    <row r="34" spans="1:16">
      <c r="A34" s="44"/>
      <c r="B34" t="s">
        <v>189</v>
      </c>
      <c r="E34" s="38"/>
      <c r="F34" s="38">
        <f>F33/AVERAGE('Balance sheet'!E23:F23)</f>
        <v>10.389439861587421</v>
      </c>
      <c r="G34" s="38">
        <f>G33/AVERAGE('Balance sheet'!F23:G23)</f>
        <v>13.593385110785519</v>
      </c>
      <c r="H34" s="38">
        <f>H33/AVERAGE('Balance sheet'!G23:H23)</f>
        <v>13.15663162954951</v>
      </c>
      <c r="I34" s="38">
        <f>I33/AVERAGE('Balance sheet'!H23:I23)</f>
        <v>15.606745350138381</v>
      </c>
      <c r="J34" s="38"/>
      <c r="M34" s="6"/>
      <c r="N34" s="45"/>
      <c r="O34" s="45"/>
    </row>
    <row r="35" spans="1:16">
      <c r="A35" s="44"/>
      <c r="B35" t="s">
        <v>190</v>
      </c>
      <c r="E35" s="38"/>
      <c r="F35" s="38">
        <f>365/F34</f>
        <v>35.131826629990329</v>
      </c>
      <c r="G35" s="38">
        <f t="shared" ref="G35:I35" si="3">365/G34</f>
        <v>26.851295466527674</v>
      </c>
      <c r="H35" s="38">
        <f t="shared" si="3"/>
        <v>27.74266318897444</v>
      </c>
      <c r="I35" s="38">
        <f t="shared" si="3"/>
        <v>23.387323353537234</v>
      </c>
      <c r="M35" s="6"/>
      <c r="N35" s="45"/>
      <c r="O35" s="45"/>
      <c r="P35" s="6"/>
    </row>
    <row r="36" spans="1:16">
      <c r="A36" s="44"/>
      <c r="B36" t="s">
        <v>191</v>
      </c>
      <c r="E36" s="38"/>
      <c r="F36" s="38">
        <f>'Income Statement'!F5/AVERAGE('Balance sheet'!E26:F26)</f>
        <v>309.60340409956075</v>
      </c>
      <c r="G36" s="38">
        <f>'Income Statement'!G5/AVERAGE('Balance sheet'!F26:G26)</f>
        <v>294.55775850199643</v>
      </c>
      <c r="H36" s="38">
        <f>'Income Statement'!H5/AVERAGE('Balance sheet'!G26:H26)</f>
        <v>321.56248449259778</v>
      </c>
      <c r="I36" s="38">
        <f>'Income Statement'!I5/AVERAGE('Balance sheet'!H26:I26)</f>
        <v>464.79871542525638</v>
      </c>
      <c r="M36" s="6"/>
      <c r="N36" s="45"/>
      <c r="O36" s="45"/>
    </row>
    <row r="37" spans="1:16">
      <c r="A37" s="44"/>
      <c r="B37" t="s">
        <v>192</v>
      </c>
      <c r="E37" s="38"/>
      <c r="F37" s="38">
        <f>365/F36</f>
        <v>1.1789276059853175</v>
      </c>
      <c r="G37" s="38">
        <f t="shared" ref="G37:I37" si="4">365/G36</f>
        <v>1.2391457684097162</v>
      </c>
      <c r="H37" s="38">
        <f t="shared" si="4"/>
        <v>1.1350826592098997</v>
      </c>
      <c r="I37" s="38">
        <f t="shared" si="4"/>
        <v>0.78528616342248725</v>
      </c>
      <c r="P37" s="6"/>
    </row>
  </sheetData>
  <pageMargins left="0.7" right="0.7" top="0.75" bottom="0.75" header="0.3" footer="0.3"/>
  <pageSetup orientation="portrait" horizontalDpi="1200" verticalDpi="120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showGridLines="0" workbookViewId="0">
      <pane xSplit="3" ySplit="2" topLeftCell="D9" activePane="bottomRight" state="frozen"/>
      <selection activeCell="F44" sqref="F44"/>
      <selection pane="topRight" activeCell="F44" sqref="F44"/>
      <selection pane="bottomLeft" activeCell="F44" sqref="F44"/>
      <selection pane="bottomRight" activeCell="K27" sqref="K27"/>
    </sheetView>
  </sheetViews>
  <sheetFormatPr defaultRowHeight="15"/>
  <cols>
    <col min="1" max="1" width="4.28515625" style="4" customWidth="1"/>
    <col min="2" max="2" width="4.28515625" customWidth="1"/>
    <col min="3" max="3" width="46.140625" customWidth="1"/>
    <col min="4" max="4" width="3.7109375" customWidth="1"/>
  </cols>
  <sheetData>
    <row r="1" spans="1:11" ht="18.75">
      <c r="A1" s="2" t="s">
        <v>2</v>
      </c>
    </row>
    <row r="2" spans="1:11">
      <c r="A2" s="1" t="s">
        <v>1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1">
      <c r="A3" s="1"/>
      <c r="E3" s="3"/>
      <c r="F3" s="3"/>
      <c r="G3" s="3"/>
      <c r="H3" s="3"/>
      <c r="I3" s="3"/>
      <c r="J3" s="3"/>
      <c r="K3" s="3"/>
    </row>
    <row r="4" spans="1:11">
      <c r="A4" s="4" t="s">
        <v>59</v>
      </c>
    </row>
    <row r="5" spans="1:11">
      <c r="B5" t="s">
        <v>60</v>
      </c>
      <c r="E5" s="18">
        <f>'Income Statement'!E5/'Income Statement'!E$7</f>
        <v>0.99590610721390493</v>
      </c>
      <c r="F5" s="18">
        <f>'Income Statement'!F5/'Income Statement'!F$7</f>
        <v>0.99541854201837165</v>
      </c>
      <c r="G5" s="18">
        <f>'Income Statement'!G5/'Income Statement'!G$7</f>
        <v>0.99707501087083683</v>
      </c>
      <c r="H5" s="18">
        <f>'Income Statement'!H5/'Income Statement'!H$7</f>
        <v>0.9967349851874564</v>
      </c>
      <c r="I5" s="18">
        <f>'Income Statement'!I5/'Income Statement'!I$7</f>
        <v>0.99392881162790081</v>
      </c>
      <c r="J5" s="18">
        <f>'Income Statement'!J5/'Income Statement'!J$7</f>
        <v>0.99578779347686752</v>
      </c>
      <c r="K5" s="18">
        <f>'Income Statement'!K5/'Income Statement'!K$7</f>
        <v>0.99588014914989309</v>
      </c>
    </row>
    <row r="6" spans="1:11">
      <c r="B6" t="s">
        <v>58</v>
      </c>
      <c r="E6" s="19">
        <f>'Income Statement'!E6/'Income Statement'!E$7</f>
        <v>4.0938927860950406E-3</v>
      </c>
      <c r="F6" s="19">
        <f>'Income Statement'!F6/'Income Statement'!F$7</f>
        <v>4.5814579816282706E-3</v>
      </c>
      <c r="G6" s="19">
        <f>'Income Statement'!G6/'Income Statement'!G$7</f>
        <v>2.9249891291632511E-3</v>
      </c>
      <c r="H6" s="19">
        <f>'Income Statement'!H6/'Income Statement'!H$7</f>
        <v>3.2650148125436458E-3</v>
      </c>
      <c r="I6" s="19">
        <f>'Income Statement'!I6/'Income Statement'!I$7</f>
        <v>6.0711883720992064E-3</v>
      </c>
      <c r="J6" s="19">
        <f>'Income Statement'!J6/'Income Statement'!J$7</f>
        <v>4.2122065231323868E-3</v>
      </c>
      <c r="K6" s="19">
        <f>'Income Statement'!K6/'Income Statement'!K$7</f>
        <v>4.1198508501068811E-3</v>
      </c>
    </row>
    <row r="7" spans="1:11" s="8" customFormat="1">
      <c r="B7" s="8" t="s">
        <v>62</v>
      </c>
      <c r="E7" s="21">
        <f>'Income Statement'!E7/'Income Statement'!E$7</f>
        <v>1</v>
      </c>
      <c r="F7" s="21">
        <f>'Income Statement'!F7/'Income Statement'!F$7</f>
        <v>1</v>
      </c>
      <c r="G7" s="21">
        <f>'Income Statement'!G7/'Income Statement'!G$7</f>
        <v>1</v>
      </c>
      <c r="H7" s="21">
        <f>'Income Statement'!H7/'Income Statement'!H$7</f>
        <v>1</v>
      </c>
      <c r="I7" s="21">
        <f>'Income Statement'!I7/'Income Statement'!I$7</f>
        <v>1</v>
      </c>
      <c r="J7" s="50">
        <f t="shared" ref="J7:K7" si="0">SUM(J5:J6)</f>
        <v>0.99999999999999989</v>
      </c>
      <c r="K7" s="50">
        <f t="shared" si="0"/>
        <v>1</v>
      </c>
    </row>
    <row r="8" spans="1:11">
      <c r="E8" s="19"/>
      <c r="F8" s="19"/>
      <c r="G8" s="19"/>
      <c r="H8" s="19"/>
      <c r="I8" s="19"/>
      <c r="J8" s="20"/>
      <c r="K8" s="20"/>
    </row>
    <row r="9" spans="1:11">
      <c r="A9" s="4" t="s">
        <v>61</v>
      </c>
      <c r="E9" s="19"/>
      <c r="F9" s="19"/>
      <c r="G9" s="19"/>
      <c r="H9" s="19"/>
      <c r="I9" s="19"/>
      <c r="J9" s="20"/>
      <c r="K9" s="20"/>
    </row>
    <row r="10" spans="1:11">
      <c r="B10" t="s">
        <v>63</v>
      </c>
      <c r="E10" s="19">
        <f>'Income Statement'!E10/'Income Statement'!E$7</f>
        <v>0.79800602750259386</v>
      </c>
      <c r="F10" s="19">
        <f>'Income Statement'!F10/'Income Statement'!F$7</f>
        <v>0.73112384588271906</v>
      </c>
      <c r="G10" s="19">
        <f>'Income Statement'!G10/'Income Statement'!G$7</f>
        <v>0.73780800121548307</v>
      </c>
      <c r="H10" s="19">
        <f>'Income Statement'!H10/'Income Statement'!H$7</f>
        <v>0.70048103594490085</v>
      </c>
      <c r="I10" s="19">
        <f>'Income Statement'!I10/'Income Statement'!I$7</f>
        <v>0.7210168653474841</v>
      </c>
      <c r="J10" s="19">
        <f>'Income Statement'!J10/'Income Statement'!J$7</f>
        <v>0.72260783385530436</v>
      </c>
      <c r="K10" s="19">
        <f>'Income Statement'!K10/'Income Statement'!K$7</f>
        <v>0.72047784356226952</v>
      </c>
    </row>
    <row r="11" spans="1:11">
      <c r="B11" s="10" t="s">
        <v>64</v>
      </c>
      <c r="E11" s="19">
        <f>'Income Statement'!E11/'Income Statement'!E$7</f>
        <v>-2.6751191129940712E-2</v>
      </c>
      <c r="F11" s="19">
        <f>'Income Statement'!F11/'Income Statement'!F$7</f>
        <v>8.2814589819466076E-3</v>
      </c>
      <c r="G11" s="19">
        <f>'Income Statement'!G11/'Income Statement'!G$7</f>
        <v>2.6798884626516268E-2</v>
      </c>
      <c r="H11" s="19">
        <f>'Income Statement'!H11/'Income Statement'!H$7</f>
        <v>-7.8282421730396321E-3</v>
      </c>
      <c r="I11" s="19">
        <f>'Income Statement'!I11/'Income Statement'!I$7</f>
        <v>-5.3388177686488681E-4</v>
      </c>
      <c r="J11" s="19">
        <f>'Income Statement'!J11/'Income Statement'!J$7</f>
        <v>6.67328377074476E-3</v>
      </c>
      <c r="K11" s="19">
        <f>'Income Statement'!K11/'Income Statement'!K$7</f>
        <v>6.2710535274886278E-3</v>
      </c>
    </row>
    <row r="12" spans="1:11">
      <c r="B12" t="s">
        <v>65</v>
      </c>
      <c r="E12" s="19">
        <f>'Income Statement'!E12/'Income Statement'!E$7</f>
        <v>4.0687834100285973E-2</v>
      </c>
      <c r="F12" s="19">
        <f>'Income Statement'!F12/'Income Statement'!F$7</f>
        <v>4.5109061177704197E-2</v>
      </c>
      <c r="G12" s="19">
        <f>'Income Statement'!G12/'Income Statement'!G$7</f>
        <v>4.2465007091094582E-2</v>
      </c>
      <c r="H12" s="19">
        <f>'Income Statement'!H12/'Income Statement'!H$7</f>
        <v>4.6041938623053835E-2</v>
      </c>
      <c r="I12" s="19">
        <f>'Income Statement'!I12/'Income Statement'!I$7</f>
        <v>4.5375963534767014E-2</v>
      </c>
      <c r="J12" s="19">
        <f>'Income Statement'!J12/'Income Statement'!J$7</f>
        <v>4.4748749143116745E-2</v>
      </c>
      <c r="K12" s="19">
        <f>'Income Statement'!K12/'Income Statement'!K$7</f>
        <v>4.4658629362441901E-2</v>
      </c>
    </row>
    <row r="13" spans="1:11">
      <c r="B13" t="s">
        <v>66</v>
      </c>
      <c r="E13" s="19">
        <f>'Income Statement'!E13/'Income Statement'!E$7</f>
        <v>6.8189801836303155E-3</v>
      </c>
      <c r="F13" s="19">
        <f>'Income Statement'!F13/'Income Statement'!F$7</f>
        <v>6.805106801635109E-3</v>
      </c>
      <c r="G13" s="19">
        <f>'Income Statement'!G13/'Income Statement'!G$7</f>
        <v>7.5217335174578882E-3</v>
      </c>
      <c r="H13" s="19">
        <f>'Income Statement'!H13/'Income Statement'!H$7</f>
        <v>6.0972921091031768E-3</v>
      </c>
      <c r="I13" s="19">
        <f>'Income Statement'!I13/'Income Statement'!I$7</f>
        <v>2.8878352046517283E-3</v>
      </c>
      <c r="J13" s="19">
        <f>'Income Statement'!J13/'Income Statement'!J$7</f>
        <v>5.4768328641227708E-3</v>
      </c>
      <c r="K13" s="19">
        <f>'Income Statement'!K13/'Income Statement'!K$7</f>
        <v>5.4773408203244115E-3</v>
      </c>
    </row>
    <row r="14" spans="1:11">
      <c r="B14" t="s">
        <v>67</v>
      </c>
      <c r="E14" s="19">
        <f>'Income Statement'!E14/'Income Statement'!E$7</f>
        <v>1.7487021082483362E-2</v>
      </c>
      <c r="F14" s="19">
        <f>'Income Statement'!F14/'Income Statement'!F$7</f>
        <v>2.1826357682062352E-2</v>
      </c>
      <c r="G14" s="19">
        <f>'Income Statement'!G14/'Income Statement'!G$7</f>
        <v>2.2926396628712341E-2</v>
      </c>
      <c r="H14" s="19">
        <f>'Income Statement'!H14/'Income Statement'!H$7</f>
        <v>2.6008857788301115E-2</v>
      </c>
      <c r="I14" s="19">
        <f>'Income Statement'!I14/'Income Statement'!I$7</f>
        <v>2.3195280219259266E-2</v>
      </c>
      <c r="J14" s="19">
        <f>'Income Statement'!J14/'Income Statement'!J$7</f>
        <v>2.1792417257899155E-2</v>
      </c>
      <c r="K14" s="19">
        <f>'Income Statement'!K14/'Income Statement'!K$7</f>
        <v>2.0439990323443881E-2</v>
      </c>
    </row>
    <row r="15" spans="1:11">
      <c r="B15" t="s">
        <v>68</v>
      </c>
      <c r="E15" s="19">
        <f>'Income Statement'!E15/'Income Statement'!E$7</f>
        <v>0.11338229557304795</v>
      </c>
      <c r="F15" s="19">
        <f>'Income Statement'!F15/'Income Statement'!F$7</f>
        <v>0.13196611392213639</v>
      </c>
      <c r="G15" s="19">
        <f>'Income Statement'!G15/'Income Statement'!G$7</f>
        <v>0.12432322341631834</v>
      </c>
      <c r="H15" s="19">
        <f>'Income Statement'!H15/'Income Statement'!H$7</f>
        <v>0.1337220451051952</v>
      </c>
      <c r="I15" s="19">
        <f>'Income Statement'!I15/'Income Statement'!I$7</f>
        <v>0.13470568271738295</v>
      </c>
      <c r="J15" s="19">
        <f>'Income Statement'!J15/'Income Statement'!J$7</f>
        <v>0.13118259683714209</v>
      </c>
      <c r="K15" s="19">
        <f>'Income Statement'!K15/'Income Statement'!K$7</f>
        <v>0.13098662673046632</v>
      </c>
    </row>
    <row r="16" spans="1:11" s="8" customFormat="1">
      <c r="B16" s="8" t="s">
        <v>69</v>
      </c>
      <c r="E16" s="21">
        <f>'Income Statement'!E16/'Income Statement'!E$7</f>
        <v>0.94963096731210084</v>
      </c>
      <c r="F16" s="21">
        <f>'Income Statement'!F16/'Income Statement'!F$7</f>
        <v>0.94511194444820379</v>
      </c>
      <c r="G16" s="21">
        <f>'Income Statement'!G16/'Income Statement'!G$7</f>
        <v>0.96184324649558239</v>
      </c>
      <c r="H16" s="21">
        <f>'Income Statement'!H16/'Income Statement'!H$7</f>
        <v>0.90452292739751461</v>
      </c>
      <c r="I16" s="21">
        <f>'Income Statement'!I16/'Income Statement'!I$7</f>
        <v>0.92664774524668014</v>
      </c>
      <c r="J16" s="21">
        <f t="shared" ref="J16:K16" si="1">SUM(J10:J15)</f>
        <v>0.93248171372832989</v>
      </c>
      <c r="K16" s="21">
        <f t="shared" si="1"/>
        <v>0.92831148432643462</v>
      </c>
    </row>
    <row r="17" spans="1:11">
      <c r="E17" s="19"/>
      <c r="F17" s="19"/>
      <c r="G17" s="19"/>
      <c r="H17" s="19"/>
      <c r="I17" s="19"/>
      <c r="J17" s="19"/>
      <c r="K17" s="19"/>
    </row>
    <row r="18" spans="1:11" s="8" customFormat="1">
      <c r="B18" s="8" t="s">
        <v>70</v>
      </c>
      <c r="E18" s="21">
        <f>'Income Statement'!E18/'Income Statement'!E$7</f>
        <v>5.0369032687899114E-2</v>
      </c>
      <c r="F18" s="21">
        <f>'Income Statement'!F18/'Income Statement'!F$7</f>
        <v>5.4888055551796169E-2</v>
      </c>
      <c r="G18" s="21">
        <f>'Income Statement'!G18/'Income Statement'!G$7</f>
        <v>3.8156753504417593E-2</v>
      </c>
      <c r="H18" s="21">
        <f>'Income Statement'!H18/'Income Statement'!H$7</f>
        <v>9.5477072602485419E-2</v>
      </c>
      <c r="I18" s="21">
        <f>'Income Statement'!I18/'Income Statement'!I$7</f>
        <v>7.3352254753319829E-2</v>
      </c>
      <c r="J18" s="21">
        <f t="shared" ref="J18:K18" si="2">J7-J16</f>
        <v>6.7518286271670003E-2</v>
      </c>
      <c r="K18" s="21">
        <f t="shared" si="2"/>
        <v>7.1688515673565378E-2</v>
      </c>
    </row>
    <row r="19" spans="1:11">
      <c r="E19" s="19"/>
      <c r="F19" s="19"/>
      <c r="G19" s="19"/>
      <c r="H19" s="19"/>
      <c r="I19" s="19"/>
      <c r="J19" s="20"/>
      <c r="K19" s="20"/>
    </row>
    <row r="20" spans="1:11">
      <c r="A20" s="4" t="s">
        <v>71</v>
      </c>
      <c r="E20" s="19"/>
      <c r="F20" s="19"/>
      <c r="G20" s="19"/>
      <c r="H20" s="19"/>
      <c r="I20" s="19"/>
      <c r="J20" s="20"/>
      <c r="K20" s="20"/>
    </row>
    <row r="21" spans="1:11">
      <c r="B21" t="s">
        <v>72</v>
      </c>
      <c r="E21" s="19">
        <f>'Income Statement'!E21/'Income Statement'!E$7</f>
        <v>1.1649247689279925E-2</v>
      </c>
      <c r="F21" s="19">
        <f>'Income Statement'!F21/'Income Statement'!F$7</f>
        <v>1.4013283050664948E-2</v>
      </c>
      <c r="G21" s="19">
        <f>'Income Statement'!G21/'Income Statement'!G$7</f>
        <v>9.8501665463456515E-3</v>
      </c>
      <c r="H21" s="19">
        <f>'Income Statement'!H21/'Income Statement'!H$7</f>
        <v>2.6418010084219744E-2</v>
      </c>
      <c r="I21" s="19">
        <f>'Income Statement'!I21/'Income Statement'!I$7</f>
        <v>1.9255631455871239E-2</v>
      </c>
      <c r="J21" s="19">
        <f>'Income Statement'!J21/'Income Statement'!J$7</f>
        <v>1.7768458017820964E-2</v>
      </c>
      <c r="K21" s="19">
        <f>'Income Statement'!K21/'Income Statement'!K$7</f>
        <v>1.9006758315361916E-2</v>
      </c>
    </row>
    <row r="22" spans="1:11">
      <c r="B22" t="s">
        <v>73</v>
      </c>
      <c r="E22" s="19">
        <f>'Income Statement'!E22/'Income Statement'!E$7</f>
        <v>3.119573854439507E-3</v>
      </c>
      <c r="F22" s="19">
        <f>'Income Statement'!F22/'Income Statement'!F$7</f>
        <v>3.9441963589589395E-3</v>
      </c>
      <c r="G22" s="19">
        <f>'Income Statement'!G22/'Income Statement'!G$7</f>
        <v>5.0637359605415428E-3</v>
      </c>
      <c r="H22" s="19">
        <f>'Income Statement'!H22/'Income Statement'!H$7</f>
        <v>4.4714500911107301E-3</v>
      </c>
      <c r="I22" s="19">
        <f>'Income Statement'!I22/'Income Statement'!I$7</f>
        <v>-4.7468957322243958E-3</v>
      </c>
      <c r="J22" s="19">
        <f>'Income Statement'!J22/'Income Statement'!J$7</f>
        <v>5.2889565796662612E-3</v>
      </c>
      <c r="K22" s="19">
        <f>'Income Statement'!K22/'Income Statement'!K$7</f>
        <v>5.9095369491772871E-3</v>
      </c>
    </row>
    <row r="23" spans="1:11" s="8" customFormat="1">
      <c r="B23" s="8" t="s">
        <v>74</v>
      </c>
      <c r="E23" s="21">
        <f>'Income Statement'!E23/'Income Statement'!E$7</f>
        <v>1.476882154371943E-2</v>
      </c>
      <c r="F23" s="21">
        <f>'Income Statement'!F23/'Income Statement'!F$7</f>
        <v>1.7957479409623885E-2</v>
      </c>
      <c r="G23" s="21">
        <f>'Income Statement'!G23/'Income Statement'!G$7</f>
        <v>1.4913902506887195E-2</v>
      </c>
      <c r="H23" s="21">
        <f>'Income Statement'!H23/'Income Statement'!H$7</f>
        <v>3.0889460175330473E-2</v>
      </c>
      <c r="I23" s="21">
        <f>'Income Statement'!I23/'Income Statement'!I$7</f>
        <v>1.4508735723646844E-2</v>
      </c>
      <c r="J23" s="21">
        <f t="shared" ref="J23:K23" si="3">SUM(J21:J22)</f>
        <v>2.3057414597487225E-2</v>
      </c>
      <c r="K23" s="21">
        <f t="shared" si="3"/>
        <v>2.4916295264539201E-2</v>
      </c>
    </row>
    <row r="24" spans="1:11">
      <c r="E24" s="19"/>
      <c r="F24" s="19"/>
      <c r="G24" s="19"/>
      <c r="H24" s="19"/>
      <c r="I24" s="19"/>
      <c r="J24" s="20"/>
      <c r="K24" s="20"/>
    </row>
    <row r="25" spans="1:11" s="11" customFormat="1" ht="15.75" thickBot="1">
      <c r="B25" s="11" t="s">
        <v>75</v>
      </c>
      <c r="E25" s="22">
        <f>'Income Statement'!E25/'Income Statement'!E$7</f>
        <v>3.5600211144179682E-2</v>
      </c>
      <c r="F25" s="22">
        <f>'Income Statement'!F25/'Income Statement'!F$7</f>
        <v>3.6930576142172288E-2</v>
      </c>
      <c r="G25" s="22">
        <f>'Income Statement'!G25/'Income Statement'!G$7</f>
        <v>2.3242850997530397E-2</v>
      </c>
      <c r="H25" s="22">
        <f>'Income Statement'!H25/'Income Statement'!H$7</f>
        <v>6.4587612427154939E-2</v>
      </c>
      <c r="I25" s="22">
        <f>'Income Statement'!I25/'Income Statement'!I$7</f>
        <v>5.8843519029672969E-2</v>
      </c>
      <c r="J25" s="22">
        <f t="shared" ref="J25:K25" si="4">J18-J23</f>
        <v>4.4460871674182778E-2</v>
      </c>
      <c r="K25" s="22">
        <f t="shared" si="4"/>
        <v>4.6772220409026177E-2</v>
      </c>
    </row>
    <row r="26" spans="1:11" ht="15.75" thickTop="1"/>
  </sheetData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showGridLines="0" zoomScaleNormal="100" workbookViewId="0">
      <pane xSplit="3" ySplit="2" topLeftCell="D3" activePane="bottomRight" state="frozen"/>
      <selection activeCell="F44" sqref="F44"/>
      <selection pane="topRight" activeCell="F44" sqref="F44"/>
      <selection pane="bottomLeft" activeCell="F44" sqref="F44"/>
      <selection pane="bottomRight" activeCell="I40" sqref="I40:K40"/>
    </sheetView>
  </sheetViews>
  <sheetFormatPr defaultRowHeight="15"/>
  <cols>
    <col min="1" max="2" width="4.28515625" customWidth="1"/>
    <col min="3" max="3" width="35.42578125" customWidth="1"/>
    <col min="4" max="4" width="3.7109375" customWidth="1"/>
    <col min="5" max="8" width="9.28515625" bestFit="1" customWidth="1"/>
    <col min="9" max="9" width="10.140625" bestFit="1" customWidth="1"/>
    <col min="10" max="11" width="9.28515625" bestFit="1" customWidth="1"/>
  </cols>
  <sheetData>
    <row r="1" spans="1:14" ht="18.75">
      <c r="A1" s="2" t="s">
        <v>0</v>
      </c>
    </row>
    <row r="2" spans="1:14">
      <c r="A2" s="1" t="s">
        <v>1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4">
      <c r="A3" s="4"/>
    </row>
    <row r="4" spans="1:14">
      <c r="A4" s="4" t="s">
        <v>11</v>
      </c>
    </row>
    <row r="5" spans="1:14">
      <c r="A5" s="4" t="s">
        <v>29</v>
      </c>
    </row>
    <row r="6" spans="1:14">
      <c r="B6" t="s">
        <v>12</v>
      </c>
      <c r="E6" s="19">
        <f>'Balance sheet'!E6/'Balance sheet'!E$34</f>
        <v>0.53564414316774067</v>
      </c>
      <c r="F6" s="19">
        <f>'Balance sheet'!F6/'Balance sheet'!F$34</f>
        <v>0.60001782102109136</v>
      </c>
      <c r="G6" s="19">
        <f>'Balance sheet'!G6/'Balance sheet'!G$34</f>
        <v>0.60259550073221824</v>
      </c>
      <c r="H6" s="19">
        <f>'Balance sheet'!H6/'Balance sheet'!H$34</f>
        <v>0.50972234364794877</v>
      </c>
      <c r="I6" s="19">
        <f>'Balance sheet'!I6/'Balance sheet'!I$34</f>
        <v>0.47333750444443834</v>
      </c>
      <c r="J6" s="19">
        <f>'Balance sheet'!J6/'Balance sheet'!J$34</f>
        <v>0.42522379009072692</v>
      </c>
      <c r="K6" s="19">
        <f>'Balance sheet'!K6/'Balance sheet'!K$34</f>
        <v>0.37521011871423005</v>
      </c>
    </row>
    <row r="7" spans="1:14">
      <c r="B7" t="s">
        <v>30</v>
      </c>
      <c r="E7" s="19">
        <f>'Balance sheet'!E7/'Balance sheet'!E$34</f>
        <v>2.6343100741587352E-2</v>
      </c>
      <c r="F7" s="19">
        <f>'Balance sheet'!F7/'Balance sheet'!F$34</f>
        <v>1.4921780346605563E-2</v>
      </c>
      <c r="G7" s="19">
        <f>'Balance sheet'!G7/'Balance sheet'!G$34</f>
        <v>1.4049590907500614E-2</v>
      </c>
      <c r="H7" s="19">
        <f>'Balance sheet'!H7/'Balance sheet'!H$34</f>
        <v>8.5194575441375365E-3</v>
      </c>
      <c r="I7" s="19">
        <f>'Balance sheet'!I7/'Balance sheet'!I$34</f>
        <v>3.7631874638817614E-3</v>
      </c>
      <c r="J7" s="19">
        <f>'Balance sheet'!J7/'Balance sheet'!J$34</f>
        <v>3.3544164996294518E-3</v>
      </c>
      <c r="K7" s="19">
        <f>'Balance sheet'!K7/'Balance sheet'!K$34</f>
        <v>2.9846746910213167E-3</v>
      </c>
    </row>
    <row r="8" spans="1:14">
      <c r="B8" t="s">
        <v>13</v>
      </c>
      <c r="E8" s="19">
        <f>'Balance sheet'!E8/'Balance sheet'!E$34</f>
        <v>0</v>
      </c>
      <c r="F8" s="19">
        <f>'Balance sheet'!F8/'Balance sheet'!F$34</f>
        <v>4.7793584698392517E-2</v>
      </c>
      <c r="G8" s="19">
        <f>'Balance sheet'!G8/'Balance sheet'!G$34</f>
        <v>5.5191251368223247E-2</v>
      </c>
      <c r="H8" s="19">
        <f>'Balance sheet'!H8/'Balance sheet'!H$34</f>
        <v>4.5430935618079801E-2</v>
      </c>
      <c r="I8" s="19">
        <f>'Balance sheet'!I8/'Balance sheet'!I$34</f>
        <v>4.0581052314369488E-2</v>
      </c>
      <c r="J8" s="19">
        <f>'Balance sheet'!J8/'Balance sheet'!J$34</f>
        <v>3.6172992380037329E-2</v>
      </c>
      <c r="K8" s="19">
        <f>'Balance sheet'!K8/'Balance sheet'!K$34</f>
        <v>3.2185810816018449E-2</v>
      </c>
      <c r="N8" s="14"/>
    </row>
    <row r="9" spans="1:14">
      <c r="B9" t="s">
        <v>14</v>
      </c>
      <c r="E9" s="19">
        <f>'Balance sheet'!E9/'Balance sheet'!E$34</f>
        <v>1.08545004302389E-3</v>
      </c>
      <c r="F9" s="19">
        <f>'Balance sheet'!F9/'Balance sheet'!F$34</f>
        <v>1.7779793355950958E-2</v>
      </c>
      <c r="G9" s="19">
        <f>'Balance sheet'!G9/'Balance sheet'!G$34</f>
        <v>1.232775381478131E-2</v>
      </c>
      <c r="H9" s="19">
        <f>'Balance sheet'!H9/'Balance sheet'!H$34</f>
        <v>6.6865861999804571E-3</v>
      </c>
      <c r="I9" s="19">
        <f>'Balance sheet'!I9/'Balance sheet'!I$34</f>
        <v>3.9625555497368259E-3</v>
      </c>
      <c r="J9" s="19">
        <f>'Balance sheet'!J9/'Balance sheet'!J$34</f>
        <v>7.609325069651853E-3</v>
      </c>
      <c r="K9" s="19">
        <f>'Balance sheet'!K9/'Balance sheet'!K$34</f>
        <v>5.6133542953973516E-3</v>
      </c>
    </row>
    <row r="10" spans="1:14">
      <c r="B10" t="s">
        <v>15</v>
      </c>
      <c r="E10" s="19"/>
      <c r="F10" s="19"/>
      <c r="G10" s="19"/>
      <c r="H10" s="19"/>
      <c r="I10" s="19"/>
      <c r="J10" s="19"/>
      <c r="K10" s="19"/>
    </row>
    <row r="11" spans="1:14">
      <c r="C11" t="s">
        <v>17</v>
      </c>
      <c r="E11" s="19">
        <f>'Balance sheet'!E11/'Balance sheet'!E$34</f>
        <v>3.3400989221037698E-3</v>
      </c>
      <c r="F11" s="19">
        <f>'Balance sheet'!F11/'Balance sheet'!F$34</f>
        <v>2.7396495110523582E-3</v>
      </c>
      <c r="G11" s="19">
        <f>'Balance sheet'!G11/'Balance sheet'!G$34</f>
        <v>2.4877922000029994E-3</v>
      </c>
      <c r="H11" s="19">
        <f>'Balance sheet'!H11/'Balance sheet'!H$34</f>
        <v>1.9182407726447547E-3</v>
      </c>
      <c r="I11" s="19">
        <f>'Balance sheet'!I11/'Balance sheet'!I$34</f>
        <v>1.4718325969576614E-3</v>
      </c>
      <c r="J11" s="19">
        <f>'Balance sheet'!J11/'Balance sheet'!J$34</f>
        <v>1.6548850460225445E-3</v>
      </c>
      <c r="K11" s="19">
        <f>'Balance sheet'!K11/'Balance sheet'!K$34</f>
        <v>1.3970050622678291E-3</v>
      </c>
    </row>
    <row r="12" spans="1:14">
      <c r="C12" t="s">
        <v>16</v>
      </c>
      <c r="E12" s="19">
        <f>'Balance sheet'!E12/'Balance sheet'!E$34</f>
        <v>1.2562318954815065E-3</v>
      </c>
      <c r="F12" s="19">
        <f>'Balance sheet'!F12/'Balance sheet'!F$34</f>
        <v>8.5115324615218891E-4</v>
      </c>
      <c r="G12" s="19">
        <f>'Balance sheet'!G12/'Balance sheet'!G$34</f>
        <v>6.9098397117109932E-4</v>
      </c>
      <c r="H12" s="19">
        <f>'Balance sheet'!H12/'Balance sheet'!H$34</f>
        <v>8.5575137953910791E-4</v>
      </c>
      <c r="I12" s="19">
        <f>'Balance sheet'!I12/'Balance sheet'!I$34</f>
        <v>5.4573568201800944E-4</v>
      </c>
      <c r="J12" s="19">
        <f>'Balance sheet'!J12/'Balance sheet'!J$34</f>
        <v>5.73737095616841E-4</v>
      </c>
      <c r="K12" s="19">
        <f>'Balance sheet'!K12/'Balance sheet'!K$34</f>
        <v>4.9975635345416358E-4</v>
      </c>
    </row>
    <row r="13" spans="1:14">
      <c r="B13" t="s">
        <v>18</v>
      </c>
      <c r="E13" s="19"/>
      <c r="F13" s="19"/>
      <c r="G13" s="19"/>
      <c r="H13" s="19"/>
      <c r="I13" s="19"/>
      <c r="J13" s="19"/>
      <c r="K13" s="19"/>
    </row>
    <row r="14" spans="1:14">
      <c r="C14" t="s">
        <v>19</v>
      </c>
      <c r="E14" s="19">
        <f>'Balance sheet'!E14/'Balance sheet'!E$34</f>
        <v>1.1675567028592824E-2</v>
      </c>
      <c r="F14" s="19">
        <f>'Balance sheet'!F14/'Balance sheet'!F$34</f>
        <v>1.0457215585147908E-2</v>
      </c>
      <c r="G14" s="19">
        <f>'Balance sheet'!G14/'Balance sheet'!G$34</f>
        <v>4.2733547584180095E-4</v>
      </c>
      <c r="H14" s="19">
        <f>'Balance sheet'!H14/'Balance sheet'!H$34</f>
        <v>0</v>
      </c>
      <c r="I14" s="19">
        <f>'Balance sheet'!I14/'Balance sheet'!I$34</f>
        <v>5.1309260326026548E-2</v>
      </c>
      <c r="J14" s="19">
        <f>'Balance sheet'!J14/'Balance sheet'!J$34</f>
        <v>4.5735863831739748E-2</v>
      </c>
      <c r="K14" s="19">
        <f>'Balance sheet'!K14/'Balance sheet'!K$34</f>
        <v>4.0694611198600461E-2</v>
      </c>
    </row>
    <row r="15" spans="1:14">
      <c r="C15" t="s">
        <v>20</v>
      </c>
      <c r="E15" s="19">
        <f>'Balance sheet'!E15/'Balance sheet'!E$34</f>
        <v>1.4810399301108111E-2</v>
      </c>
      <c r="F15" s="19">
        <f>'Balance sheet'!F15/'Balance sheet'!F$34</f>
        <v>0</v>
      </c>
      <c r="G15" s="19">
        <f>'Balance sheet'!G15/'Balance sheet'!G$34</f>
        <v>0</v>
      </c>
      <c r="H15" s="19">
        <f>'Balance sheet'!H15/'Balance sheet'!H$34</f>
        <v>0</v>
      </c>
      <c r="I15" s="19">
        <f>'Balance sheet'!I15/'Balance sheet'!I$34</f>
        <v>0</v>
      </c>
      <c r="J15" s="19">
        <f>'Balance sheet'!J15/'Balance sheet'!J$34</f>
        <v>0</v>
      </c>
      <c r="K15" s="19">
        <f>'Balance sheet'!K15/'Balance sheet'!K$34</f>
        <v>0</v>
      </c>
    </row>
    <row r="16" spans="1:14">
      <c r="C16" t="s">
        <v>21</v>
      </c>
      <c r="E16" s="19">
        <f>'Balance sheet'!E16/'Balance sheet'!E$34</f>
        <v>9.5325832068890812E-3</v>
      </c>
      <c r="F16" s="19">
        <f>'Balance sheet'!F16/'Balance sheet'!F$34</f>
        <v>1.1297729415723197E-2</v>
      </c>
      <c r="G16" s="19">
        <f>'Balance sheet'!G16/'Balance sheet'!G$34</f>
        <v>1.171174097972281E-2</v>
      </c>
      <c r="H16" s="19">
        <f>'Balance sheet'!H16/'Balance sheet'!H$34</f>
        <v>1.0193932599293387E-2</v>
      </c>
      <c r="I16" s="19">
        <f>'Balance sheet'!I16/'Balance sheet'!I$34</f>
        <v>1.1521086620380198E-2</v>
      </c>
      <c r="J16" s="19">
        <f>'Balance sheet'!J16/'Balance sheet'!J$34</f>
        <v>1.0332938099204663E-2</v>
      </c>
      <c r="K16" s="19">
        <f>'Balance sheet'!K16/'Balance sheet'!K$34</f>
        <v>1.0505883323998442E-2</v>
      </c>
    </row>
    <row r="17" spans="1:11">
      <c r="B17" t="s">
        <v>22</v>
      </c>
      <c r="E17" s="19">
        <f>'Balance sheet'!E17/'Balance sheet'!E$34</f>
        <v>7.5850132355935662E-3</v>
      </c>
      <c r="F17" s="19">
        <f>'Balance sheet'!F17/'Balance sheet'!F$34</f>
        <v>4.8515735030674762E-3</v>
      </c>
      <c r="G17" s="19">
        <f>'Balance sheet'!G17/'Balance sheet'!G$34</f>
        <v>1.0943286834568692E-2</v>
      </c>
      <c r="H17" s="19">
        <f>'Balance sheet'!H17/'Balance sheet'!H$34</f>
        <v>2.0159527691065524E-3</v>
      </c>
      <c r="I17" s="19">
        <f>'Balance sheet'!I17/'Balance sheet'!I$34</f>
        <v>2.3428046955318582E-3</v>
      </c>
      <c r="J17" s="19">
        <f>'Balance sheet'!J17/'Balance sheet'!J$34</f>
        <v>2.088320818861109E-3</v>
      </c>
      <c r="K17" s="19">
        <f>'Balance sheet'!K17/'Balance sheet'!K$34</f>
        <v>1.8581348784434467E-3</v>
      </c>
    </row>
    <row r="18" spans="1:11">
      <c r="B18" t="s">
        <v>23</v>
      </c>
      <c r="E18" s="19">
        <f>'Balance sheet'!E18/'Balance sheet'!E$34</f>
        <v>3.0789997438272214E-3</v>
      </c>
      <c r="F18" s="19">
        <f>'Balance sheet'!F18/'Balance sheet'!F$34</f>
        <v>4.1493720749919208E-4</v>
      </c>
      <c r="G18" s="19">
        <f>'Balance sheet'!G18/'Balance sheet'!G$34</f>
        <v>2.6239897639408829E-5</v>
      </c>
      <c r="H18" s="19">
        <f>'Balance sheet'!H18/'Balance sheet'!H$34</f>
        <v>7.6112502507084113E-5</v>
      </c>
      <c r="I18" s="19">
        <f>'Balance sheet'!I18/'Balance sheet'!I$34</f>
        <v>3.123739594042478E-5</v>
      </c>
      <c r="J18" s="19">
        <f>'Balance sheet'!J18/'Balance sheet'!J$34</f>
        <v>2.7844277584814787E-5</v>
      </c>
      <c r="K18" s="19">
        <f>'Balance sheet'!K18/'Balance sheet'!K$34</f>
        <v>2.4775131712579292E-5</v>
      </c>
    </row>
    <row r="19" spans="1:11">
      <c r="B19" t="s">
        <v>24</v>
      </c>
      <c r="E19" s="19">
        <f>'Balance sheet'!E19/'Balance sheet'!E$34</f>
        <v>1.4105924159720444E-2</v>
      </c>
      <c r="F19" s="19">
        <f>'Balance sheet'!F19/'Balance sheet'!F$34</f>
        <v>1.4847304437567245E-2</v>
      </c>
      <c r="G19" s="19">
        <f>'Balance sheet'!G19/'Balance sheet'!G$34</f>
        <v>1.1041998830450279E-2</v>
      </c>
      <c r="H19" s="19">
        <f>'Balance sheet'!H19/'Balance sheet'!H$34</f>
        <v>1.199286188152163E-3</v>
      </c>
      <c r="I19" s="19">
        <f>'Balance sheet'!I19/'Balance sheet'!I$34</f>
        <v>4.0805226567589004E-2</v>
      </c>
      <c r="J19" s="19">
        <f>'Balance sheet'!J19/'Balance sheet'!J$34</f>
        <v>1.3992958843064247E-2</v>
      </c>
      <c r="K19" s="19">
        <f>'Balance sheet'!K19/'Balance sheet'!K$34</f>
        <v>1.3112808866989491E-2</v>
      </c>
    </row>
    <row r="20" spans="1:11" s="7" customFormat="1">
      <c r="B20" s="8" t="s">
        <v>31</v>
      </c>
      <c r="C20" s="8"/>
      <c r="D20" s="8"/>
      <c r="E20" s="21">
        <f>'Balance sheet'!E20/'Balance sheet'!E$34</f>
        <v>0.6284575114456683</v>
      </c>
      <c r="F20" s="21">
        <f>'Balance sheet'!F20/'Balance sheet'!F$34</f>
        <v>0.72597254232824981</v>
      </c>
      <c r="G20" s="21">
        <f>'Balance sheet'!G20/'Balance sheet'!G$34</f>
        <v>0.72149347501212036</v>
      </c>
      <c r="H20" s="21">
        <f>'Balance sheet'!H20/'Balance sheet'!H$34</f>
        <v>0.58661859922138959</v>
      </c>
      <c r="I20" s="21">
        <f>'Balance sheet'!I20/'Balance sheet'!I$34</f>
        <v>0.62967148365686998</v>
      </c>
      <c r="J20" s="21">
        <f>'Balance sheet'!J20/'Balance sheet'!J$34</f>
        <v>0.54676707205213937</v>
      </c>
      <c r="K20" s="21">
        <f>'Balance sheet'!K20/'Balance sheet'!K$34</f>
        <v>0.4840869333321336</v>
      </c>
    </row>
    <row r="21" spans="1:11">
      <c r="E21" s="19"/>
      <c r="F21" s="19"/>
      <c r="G21" s="19"/>
      <c r="H21" s="19"/>
      <c r="I21" s="19"/>
      <c r="J21" s="19"/>
      <c r="K21" s="19"/>
    </row>
    <row r="22" spans="1:11">
      <c r="A22" s="4" t="s">
        <v>25</v>
      </c>
      <c r="E22" s="19"/>
      <c r="F22" s="19"/>
      <c r="G22" s="19"/>
      <c r="H22" s="19"/>
      <c r="I22" s="19"/>
      <c r="J22" s="19"/>
      <c r="K22" s="19"/>
    </row>
    <row r="23" spans="1:11">
      <c r="B23" t="s">
        <v>26</v>
      </c>
      <c r="E23" s="19">
        <f>'Balance sheet'!E23/'Balance sheet'!E$34</f>
        <v>0.22018214541417885</v>
      </c>
      <c r="F23" s="19">
        <f>'Balance sheet'!F23/'Balance sheet'!F$34</f>
        <v>0.16604536912787382</v>
      </c>
      <c r="G23" s="19">
        <f>'Balance sheet'!G23/'Balance sheet'!G$34</f>
        <v>0.15015469044417901</v>
      </c>
      <c r="H23" s="19">
        <f>'Balance sheet'!H23/'Balance sheet'!H$34</f>
        <v>9.8917453933936389E-2</v>
      </c>
      <c r="I23" s="19">
        <f>'Balance sheet'!I23/'Balance sheet'!I$34</f>
        <v>0.11115459846624386</v>
      </c>
      <c r="J23" s="19">
        <f>'Balance sheet'!J23/'Balance sheet'!J$34</f>
        <v>0.11774841451707843</v>
      </c>
      <c r="K23" s="19">
        <f>'Balance sheet'!K23/'Balance sheet'!K$34</f>
        <v>0.11087823078840946</v>
      </c>
    </row>
    <row r="24" spans="1:11">
      <c r="B24" t="s">
        <v>18</v>
      </c>
      <c r="E24" s="19"/>
      <c r="F24" s="19"/>
      <c r="G24" s="19"/>
      <c r="H24" s="19"/>
      <c r="I24" s="19"/>
      <c r="J24" s="19"/>
      <c r="K24" s="19"/>
    </row>
    <row r="25" spans="1:11">
      <c r="C25" t="s">
        <v>19</v>
      </c>
      <c r="E25" s="25">
        <f>'Balance sheet'!E25/'Balance sheet'!E$34</f>
        <v>9.8280029689768206E-2</v>
      </c>
      <c r="F25" s="25">
        <f>'Balance sheet'!F25/'Balance sheet'!F$34</f>
        <v>2.4118225185890539E-2</v>
      </c>
      <c r="G25" s="25">
        <f>'Balance sheet'!G25/'Balance sheet'!G$34</f>
        <v>1.4396957171488979E-2</v>
      </c>
      <c r="H25" s="25">
        <f>'Balance sheet'!H25/'Balance sheet'!H$34</f>
        <v>6.2153058128352409E-2</v>
      </c>
      <c r="I25" s="25">
        <f>'Balance sheet'!I25/'Balance sheet'!I$34</f>
        <v>0.11806173795683543</v>
      </c>
      <c r="J25" s="25">
        <f>'Balance sheet'!J25/'Balance sheet'!J$34</f>
        <v>0.10523744713180748</v>
      </c>
      <c r="K25" s="25">
        <f>'Balance sheet'!K25/'Balance sheet'!K$34</f>
        <v>9.3637610307693409E-2</v>
      </c>
    </row>
    <row r="26" spans="1:11">
      <c r="C26" t="s">
        <v>27</v>
      </c>
      <c r="E26" s="19">
        <f>'Balance sheet'!E26/'Balance sheet'!E$34</f>
        <v>5.9198901741318042E-3</v>
      </c>
      <c r="F26" s="19">
        <f>'Balance sheet'!F26/'Balance sheet'!F$34</f>
        <v>9.7390550337070007E-3</v>
      </c>
      <c r="G26" s="19">
        <f>'Balance sheet'!G26/'Balance sheet'!G$34</f>
        <v>9.0002848903172304E-3</v>
      </c>
      <c r="H26" s="19">
        <f>'Balance sheet'!H26/'Balance sheet'!H$34</f>
        <v>5.0275393547922582E-3</v>
      </c>
      <c r="I26" s="19">
        <f>'Balance sheet'!I26/'Balance sheet'!I$34</f>
        <v>4.3778291663565897E-3</v>
      </c>
      <c r="J26" s="19">
        <f>'Balance sheet'!J26/'Balance sheet'!J$34</f>
        <v>6.2235771606648053E-3</v>
      </c>
      <c r="K26" s="19">
        <f>'Balance sheet'!K26/'Balance sheet'!K$34</f>
        <v>6.1214302378186534E-3</v>
      </c>
    </row>
    <row r="27" spans="1:11">
      <c r="C27" t="s">
        <v>32</v>
      </c>
      <c r="E27" s="19">
        <f>'Balance sheet'!E27/'Balance sheet'!E$34</f>
        <v>2.2853567698583165E-2</v>
      </c>
      <c r="F27" s="25">
        <f>'Balance sheet'!F27/'Balance sheet'!F$34</f>
        <v>2.8524273161675232E-2</v>
      </c>
      <c r="G27" s="25">
        <f>'Balance sheet'!G27/'Balance sheet'!G$34</f>
        <v>8.5808213837672509E-2</v>
      </c>
      <c r="H27" s="19">
        <f>'Balance sheet'!H27/'Balance sheet'!H$34</f>
        <v>0.12768797988161421</v>
      </c>
      <c r="I27" s="19">
        <f>'Balance sheet'!I27/'Balance sheet'!I$34</f>
        <v>0.10096477616108943</v>
      </c>
      <c r="J27" s="19">
        <f>'Balance sheet'!J27/'Balance sheet'!J$34</f>
        <v>0.1876840946753027</v>
      </c>
      <c r="K27" s="19">
        <f>'Balance sheet'!K27/'Balance sheet'!K$34</f>
        <v>0.27613945475652668</v>
      </c>
    </row>
    <row r="28" spans="1:11">
      <c r="C28" t="s">
        <v>28</v>
      </c>
      <c r="E28" s="19">
        <f>'Balance sheet'!E28/'Balance sheet'!E$34</f>
        <v>1.149493237695496E-4</v>
      </c>
      <c r="F28" s="19">
        <f>'Balance sheet'!F28/'Balance sheet'!F$34</f>
        <v>1.0905400966324919E-4</v>
      </c>
      <c r="G28" s="19">
        <f>'Balance sheet'!G28/'Balance sheet'!G$34</f>
        <v>4.2483643797138111E-5</v>
      </c>
      <c r="H28" s="25">
        <f>'Balance sheet'!H28/'Balance sheet'!H$34</f>
        <v>0.10316741150635898</v>
      </c>
      <c r="I28" s="19">
        <f>'Balance sheet'!I28/'Balance sheet'!I$34</f>
        <v>2.0171089055059589E-2</v>
      </c>
      <c r="J28" s="19">
        <f>'Balance sheet'!J28/'Balance sheet'!J$34</f>
        <v>1.7980032775723784E-2</v>
      </c>
      <c r="K28" s="19">
        <f>'Balance sheet'!K28/'Balance sheet'!K$34</f>
        <v>1.5998176963225835E-2</v>
      </c>
    </row>
    <row r="29" spans="1:11">
      <c r="C29" t="s">
        <v>20</v>
      </c>
      <c r="E29" s="19">
        <f>'Balance sheet'!E29/'Balance sheet'!E$34</f>
        <v>1.1002292417942606E-2</v>
      </c>
      <c r="F29" s="19">
        <f>'Balance sheet'!F29/'Balance sheet'!F$34</f>
        <v>2.0870543581041096E-2</v>
      </c>
      <c r="G29" s="19">
        <f>'Balance sheet'!G29/'Balance sheet'!G$34</f>
        <v>4.6994407153246008E-3</v>
      </c>
      <c r="H29" s="19">
        <f>'Balance sheet'!H29/'Balance sheet'!H$34</f>
        <v>3.6420860996970918E-3</v>
      </c>
      <c r="I29" s="19">
        <f>'Balance sheet'!I29/'Balance sheet'!I$34</f>
        <v>4.3824229010537113E-4</v>
      </c>
      <c r="J29" s="19">
        <f>'Balance sheet'!J29/'Balance sheet'!J$34</f>
        <v>5.3847112057173203E-3</v>
      </c>
      <c r="K29" s="19">
        <f>'Balance sheet'!K29/'Balance sheet'!K$34</f>
        <v>2.6764673282806532E-3</v>
      </c>
    </row>
    <row r="30" spans="1:11">
      <c r="C30" t="s">
        <v>21</v>
      </c>
      <c r="E30" s="19">
        <f>'Balance sheet'!E30/'Balance sheet'!E$34</f>
        <v>2.6766771106337975E-4</v>
      </c>
      <c r="F30" s="19">
        <f>'Balance sheet'!F30/'Balance sheet'!F$34</f>
        <v>3.0056349004749168E-4</v>
      </c>
      <c r="G30" s="19">
        <f>'Balance sheet'!G30/'Balance sheet'!G$34</f>
        <v>8.0968827001604395E-4</v>
      </c>
      <c r="H30" s="19">
        <f>'Balance sheet'!H30/'Balance sheet'!H$34</f>
        <v>3.7233413388600606E-4</v>
      </c>
      <c r="I30" s="19">
        <f>'Balance sheet'!I30/'Balance sheet'!I$34</f>
        <v>4.9198898606169017E-3</v>
      </c>
      <c r="J30" s="19">
        <f>'Balance sheet'!J30/'Balance sheet'!J$34</f>
        <v>1.3786923324317455E-3</v>
      </c>
      <c r="K30" s="19">
        <f>'Balance sheet'!K30/'Balance sheet'!K$34</f>
        <v>1.4736798755627238E-3</v>
      </c>
    </row>
    <row r="31" spans="1:11">
      <c r="B31" t="s">
        <v>33</v>
      </c>
      <c r="E31" s="19">
        <f>'Balance sheet'!E31/'Balance sheet'!E$34</f>
        <v>1.2921946124894083E-2</v>
      </c>
      <c r="F31" s="19">
        <f>'Balance sheet'!F31/'Balance sheet'!F$34</f>
        <v>2.4320374081851684E-2</v>
      </c>
      <c r="G31" s="19">
        <f>'Balance sheet'!G31/'Balance sheet'!G$34</f>
        <v>1.3594766015084194E-2</v>
      </c>
      <c r="H31" s="19">
        <f>'Balance sheet'!H31/'Balance sheet'!H$34</f>
        <v>1.2413537739972946E-2</v>
      </c>
      <c r="I31" s="19">
        <f>'Balance sheet'!I31/'Balance sheet'!I$34</f>
        <v>1.0240353386822781E-2</v>
      </c>
      <c r="J31" s="19">
        <f>'Balance sheet'!J31/'Balance sheet'!J$34</f>
        <v>1.1595958149134163E-2</v>
      </c>
      <c r="K31" s="19">
        <f>'Balance sheet'!K31/'Balance sheet'!K$34</f>
        <v>8.9880164103490461E-3</v>
      </c>
    </row>
    <row r="32" spans="1:11" s="7" customFormat="1">
      <c r="B32" s="8" t="s">
        <v>34</v>
      </c>
      <c r="C32" s="8"/>
      <c r="D32" s="8"/>
      <c r="E32" s="21">
        <f>'Balance sheet'!E32/'Balance sheet'!E$34</f>
        <v>0.37154248855433164</v>
      </c>
      <c r="F32" s="21">
        <f>'Balance sheet'!F32/'Balance sheet'!F$34</f>
        <v>0.27402745767175013</v>
      </c>
      <c r="G32" s="21">
        <f>'Balance sheet'!G32/'Balance sheet'!G$34</f>
        <v>0.2785065249878797</v>
      </c>
      <c r="H32" s="21">
        <f>'Balance sheet'!H32/'Balance sheet'!H$34</f>
        <v>0.41338140077861035</v>
      </c>
      <c r="I32" s="21">
        <f>'Balance sheet'!I32/'Balance sheet'!I$34</f>
        <v>0.37032851634312991</v>
      </c>
      <c r="J32" s="21">
        <f>'Balance sheet'!J32/'Balance sheet'!J$34</f>
        <v>0.45323292794786052</v>
      </c>
      <c r="K32" s="21">
        <f>'Balance sheet'!K32/'Balance sheet'!K$34</f>
        <v>0.5159130666678664</v>
      </c>
    </row>
    <row r="33" spans="1:11">
      <c r="E33" s="19"/>
      <c r="F33" s="19"/>
      <c r="G33" s="19"/>
      <c r="H33" s="19"/>
      <c r="I33" s="19"/>
      <c r="J33" s="19"/>
      <c r="K33" s="19"/>
    </row>
    <row r="34" spans="1:11" s="7" customFormat="1">
      <c r="B34" s="8" t="s">
        <v>35</v>
      </c>
      <c r="C34" s="8"/>
      <c r="D34" s="8"/>
      <c r="E34" s="21">
        <f>'Balance sheet'!E34/'Balance sheet'!E$34</f>
        <v>1</v>
      </c>
      <c r="F34" s="21">
        <f>'Balance sheet'!F34/'Balance sheet'!F$34</f>
        <v>1</v>
      </c>
      <c r="G34" s="21">
        <f>'Balance sheet'!G34/'Balance sheet'!G$34</f>
        <v>1</v>
      </c>
      <c r="H34" s="21">
        <f>'Balance sheet'!H34/'Balance sheet'!H$34</f>
        <v>1</v>
      </c>
      <c r="I34" s="21">
        <f>'Balance sheet'!I34/'Balance sheet'!I$34</f>
        <v>1</v>
      </c>
      <c r="J34" s="21">
        <f>'Balance sheet'!J34/'Balance sheet'!J$34</f>
        <v>1</v>
      </c>
      <c r="K34" s="21">
        <f>'Balance sheet'!K34/'Balance sheet'!K$34</f>
        <v>1</v>
      </c>
    </row>
    <row r="35" spans="1:11">
      <c r="E35" s="19"/>
      <c r="F35" s="19"/>
      <c r="G35" s="19"/>
      <c r="H35" s="19"/>
      <c r="I35" s="19"/>
      <c r="J35" s="19"/>
      <c r="K35" s="19"/>
    </row>
    <row r="36" spans="1:11">
      <c r="A36" s="4" t="s">
        <v>36</v>
      </c>
      <c r="E36" s="19"/>
      <c r="F36" s="19"/>
      <c r="G36" s="19"/>
      <c r="H36" s="19"/>
      <c r="I36" s="19"/>
      <c r="J36" s="19"/>
      <c r="K36" s="19"/>
    </row>
    <row r="37" spans="1:11">
      <c r="A37" s="4" t="s">
        <v>37</v>
      </c>
      <c r="E37" s="19"/>
      <c r="F37" s="19"/>
      <c r="G37" s="19"/>
      <c r="H37" s="19"/>
      <c r="I37" s="19"/>
      <c r="J37" s="19"/>
      <c r="K37" s="19"/>
    </row>
    <row r="38" spans="1:11">
      <c r="B38" t="s">
        <v>38</v>
      </c>
      <c r="E38" s="19">
        <f>'Balance sheet'!E38/'Balance sheet'!E$34</f>
        <v>5.3779862192182134E-3</v>
      </c>
      <c r="F38" s="19">
        <f>'Balance sheet'!F38/'Balance sheet'!F$34</f>
        <v>7.4039692999663537E-2</v>
      </c>
      <c r="G38" s="19">
        <f>'Balance sheet'!G38/'Balance sheet'!G$34</f>
        <v>6.9563218161008022E-2</v>
      </c>
      <c r="H38" s="19">
        <f>'Balance sheet'!H38/'Balance sheet'!H$34</f>
        <v>5.9990023090887579E-2</v>
      </c>
      <c r="I38" s="19">
        <f>'Balance sheet'!I38/'Balance sheet'!I$34</f>
        <v>5.4659011667167384E-2</v>
      </c>
      <c r="J38" s="19">
        <f>'Balance sheet'!J38/'Balance sheet'!J$34</f>
        <v>4.8721753128040765E-2</v>
      </c>
      <c r="K38" s="19">
        <f>'Balance sheet'!K38/'Balance sheet'!K$34</f>
        <v>4.335137973460234E-2</v>
      </c>
    </row>
    <row r="39" spans="1:11">
      <c r="B39" t="s">
        <v>39</v>
      </c>
      <c r="E39" s="19">
        <f>'Balance sheet'!E39/'Balance sheet'!E$34</f>
        <v>0.55217878232539208</v>
      </c>
      <c r="F39" s="19">
        <f>'Balance sheet'!F39/'Balance sheet'!F$34</f>
        <v>0.46640671027940445</v>
      </c>
      <c r="G39" s="19">
        <f>'Balance sheet'!G39/'Balance sheet'!G$34</f>
        <v>0.47209824217676194</v>
      </c>
      <c r="H39" s="19">
        <f>'Balance sheet'!H39/'Balance sheet'!H$34</f>
        <v>0.61676326440351958</v>
      </c>
      <c r="I39" s="19">
        <f>'Balance sheet'!I39/'Balance sheet'!I$34</f>
        <v>0.71999257652472959</v>
      </c>
      <c r="J39" s="19">
        <f>'Balance sheet'!J39/'Balance sheet'!J$34</f>
        <v>0.73529702663583874</v>
      </c>
      <c r="K39" s="19">
        <f>'Balance sheet'!K39/'Balance sheet'!K$34</f>
        <v>0.75314913882309331</v>
      </c>
    </row>
    <row r="40" spans="1:11" s="7" customFormat="1">
      <c r="B40" s="8" t="s">
        <v>40</v>
      </c>
      <c r="C40" s="8"/>
      <c r="D40" s="8"/>
      <c r="E40" s="21">
        <f>'Balance sheet'!E40/'Balance sheet'!E$34</f>
        <v>0.55755676854461023</v>
      </c>
      <c r="F40" s="21">
        <f>'Balance sheet'!F40/'Balance sheet'!F$34</f>
        <v>0.54044640327906801</v>
      </c>
      <c r="G40" s="21">
        <f>'Balance sheet'!G40/'Balance sheet'!G$34</f>
        <v>0.54166146033776996</v>
      </c>
      <c r="H40" s="21">
        <f>'Balance sheet'!H40/'Balance sheet'!H$34</f>
        <v>0.67675328749440722</v>
      </c>
      <c r="I40" s="21">
        <f>'Balance sheet'!I40/'Balance sheet'!I$34</f>
        <v>0.77465158819189694</v>
      </c>
      <c r="J40" s="21">
        <f>'Balance sheet'!J40/'Balance sheet'!J$34</f>
        <v>0.78401877976387946</v>
      </c>
      <c r="K40" s="21">
        <f>'Balance sheet'!K40/'Balance sheet'!K$34</f>
        <v>0.79650051855769555</v>
      </c>
    </row>
    <row r="41" spans="1:11">
      <c r="E41" s="19"/>
      <c r="F41" s="19"/>
      <c r="G41" s="19"/>
      <c r="H41" s="19"/>
      <c r="I41" s="19"/>
      <c r="J41" s="19"/>
      <c r="K41" s="19"/>
    </row>
    <row r="42" spans="1:11">
      <c r="A42" s="4" t="s">
        <v>41</v>
      </c>
      <c r="E42" s="19"/>
      <c r="F42" s="19"/>
      <c r="G42" s="19"/>
      <c r="H42" s="19"/>
      <c r="I42" s="19"/>
      <c r="J42" s="19"/>
      <c r="K42" s="19"/>
    </row>
    <row r="43" spans="1:11">
      <c r="A43" s="4" t="s">
        <v>42</v>
      </c>
      <c r="E43" s="19"/>
      <c r="F43" s="19"/>
      <c r="G43" s="19"/>
      <c r="H43" s="19"/>
      <c r="I43" s="19"/>
      <c r="J43" s="19"/>
      <c r="K43" s="19"/>
    </row>
    <row r="44" spans="1:11">
      <c r="B44" t="s">
        <v>43</v>
      </c>
      <c r="E44" s="19"/>
      <c r="F44" s="19"/>
      <c r="G44" s="19"/>
      <c r="H44" s="19"/>
      <c r="I44" s="19"/>
      <c r="J44" s="19"/>
      <c r="K44" s="19"/>
    </row>
    <row r="45" spans="1:11">
      <c r="C45" t="s">
        <v>44</v>
      </c>
      <c r="E45" s="19">
        <f>'Balance sheet'!E45/'Balance sheet'!E$34</f>
        <v>3.6537463626749693E-2</v>
      </c>
      <c r="F45" s="19">
        <f>'Balance sheet'!F45/'Balance sheet'!F$34</f>
        <v>0.14660848679582034</v>
      </c>
      <c r="G45" s="19">
        <f>'Balance sheet'!G45/'Balance sheet'!G$34</f>
        <v>0.10836452965608241</v>
      </c>
      <c r="H45" s="19">
        <f>'Balance sheet'!H45/'Balance sheet'!H$34</f>
        <v>5.4479066490442214E-2</v>
      </c>
      <c r="I45" s="19">
        <f>'Balance sheet'!I45/'Balance sheet'!I$34</f>
        <v>0</v>
      </c>
      <c r="J45" s="19">
        <f>'Balance sheet'!J45/'Balance sheet'!J$34</f>
        <v>0</v>
      </c>
      <c r="K45" s="19">
        <f>'Balance sheet'!K45/'Balance sheet'!K$34</f>
        <v>0</v>
      </c>
    </row>
    <row r="46" spans="1:11">
      <c r="C46" t="s">
        <v>45</v>
      </c>
      <c r="E46" s="19">
        <f>'Balance sheet'!E46/'Balance sheet'!E$34</f>
        <v>9.4110653503326966E-3</v>
      </c>
      <c r="F46" s="19">
        <f>'Balance sheet'!F46/'Balance sheet'!F$34</f>
        <v>1.0173941145412884E-2</v>
      </c>
      <c r="G46" s="19">
        <f>'Balance sheet'!G46/'Balance sheet'!G$34</f>
        <v>8.8328493529990972E-3</v>
      </c>
      <c r="H46" s="19">
        <f>'Balance sheet'!H46/'Balance sheet'!H$34</f>
        <v>1.0220674829903985E-2</v>
      </c>
      <c r="I46" s="19">
        <f>'Balance sheet'!I46/'Balance sheet'!I$34</f>
        <v>9.033119908419306E-3</v>
      </c>
      <c r="J46" s="19">
        <f>'Balance sheet'!J46/'Balance sheet'!J$34</f>
        <v>8.0519099180558513E-3</v>
      </c>
      <c r="K46" s="19">
        <f>'Balance sheet'!K46/'Balance sheet'!K$34</f>
        <v>7.1643851470023397E-3</v>
      </c>
    </row>
    <row r="47" spans="1:11">
      <c r="B47" t="s">
        <v>46</v>
      </c>
      <c r="E47" s="19">
        <f>'Balance sheet'!E47/'Balance sheet'!E$34</f>
        <v>1.131101345892368E-2</v>
      </c>
      <c r="F47" s="19">
        <f>'Balance sheet'!F47/'Balance sheet'!F$34</f>
        <v>8.6445251562331689E-3</v>
      </c>
      <c r="G47" s="19">
        <f>'Balance sheet'!G47/'Balance sheet'!G$34</f>
        <v>1.1859184214077582E-2</v>
      </c>
      <c r="H47" s="19">
        <f>'Balance sheet'!H47/'Balance sheet'!H$34</f>
        <v>4.6768047148609652E-2</v>
      </c>
      <c r="I47" s="19">
        <f>'Balance sheet'!I47/'Balance sheet'!I$34</f>
        <v>9.9913729662388078E-3</v>
      </c>
      <c r="J47" s="19">
        <f>'Balance sheet'!J47/'Balance sheet'!J$34</f>
        <v>1.5621408269036205E-2</v>
      </c>
      <c r="K47" s="19">
        <f>'Balance sheet'!K47/'Balance sheet'!K$34</f>
        <v>1.5878651892604793E-2</v>
      </c>
    </row>
    <row r="48" spans="1:11">
      <c r="B48" t="s">
        <v>47</v>
      </c>
      <c r="E48" s="19">
        <f>'Balance sheet'!E48/'Balance sheet'!E$34</f>
        <v>3.4061126766114252E-2</v>
      </c>
      <c r="F48" s="19">
        <f>'Balance sheet'!F48/'Balance sheet'!F$34</f>
        <v>3.433738384750526E-2</v>
      </c>
      <c r="G48" s="19">
        <f>'Balance sheet'!G48/'Balance sheet'!G$34</f>
        <v>4.5623684881320695E-2</v>
      </c>
      <c r="H48" s="19">
        <f>'Balance sheet'!H48/'Balance sheet'!H$34</f>
        <v>2.6279384311567555E-3</v>
      </c>
      <c r="I48" s="19">
        <f>'Balance sheet'!I48/'Balance sheet'!I$34</f>
        <v>3.1782212875503368E-2</v>
      </c>
      <c r="J48" s="19">
        <f>'Balance sheet'!J48/'Balance sheet'!J$34</f>
        <v>2.8329914543867588E-2</v>
      </c>
      <c r="K48" s="19">
        <f>'Balance sheet'!K48/'Balance sheet'!K$34</f>
        <v>2.5207239156860455E-2</v>
      </c>
    </row>
    <row r="49" spans="1:11">
      <c r="B49" t="s">
        <v>48</v>
      </c>
      <c r="E49" s="19">
        <f>'Balance sheet'!E49/'Balance sheet'!E$34</f>
        <v>5.6686437950355037E-3</v>
      </c>
      <c r="F49" s="19">
        <f>'Balance sheet'!F49/'Balance sheet'!F$34</f>
        <v>4.1679910522515002E-3</v>
      </c>
      <c r="G49" s="19">
        <f>'Balance sheet'!G49/'Balance sheet'!G$34</f>
        <v>3.546134738125822E-3</v>
      </c>
      <c r="H49" s="19">
        <f>'Balance sheet'!H49/'Balance sheet'!H$34</f>
        <v>9.0049318844529908E-3</v>
      </c>
      <c r="I49" s="19">
        <f>'Balance sheet'!I49/'Balance sheet'!I$34</f>
        <v>2.0800430708565209E-3</v>
      </c>
      <c r="J49" s="19">
        <f>'Balance sheet'!J49/'Balance sheet'!J$34</f>
        <v>1.854101307412373E-3</v>
      </c>
      <c r="K49" s="19">
        <f>'Balance sheet'!K49/'Balance sheet'!K$34</f>
        <v>1.6497322999199859E-3</v>
      </c>
    </row>
    <row r="50" spans="1:11" s="7" customFormat="1">
      <c r="B50" s="8" t="s">
        <v>49</v>
      </c>
      <c r="C50" s="8"/>
      <c r="D50" s="8"/>
      <c r="E50" s="21">
        <f>'Balance sheet'!E50/'Balance sheet'!E$34</f>
        <v>9.6989312997155824E-2</v>
      </c>
      <c r="F50" s="21">
        <f>'Balance sheet'!F50/'Balance sheet'!F$34</f>
        <v>0.20393232799722313</v>
      </c>
      <c r="G50" s="21">
        <f>'Balance sheet'!G50/'Balance sheet'!G$34</f>
        <v>0.17822638284260561</v>
      </c>
      <c r="H50" s="21">
        <f>'Balance sheet'!H50/'Balance sheet'!H$34</f>
        <v>0.12310065878456559</v>
      </c>
      <c r="I50" s="21">
        <f>'Balance sheet'!I50/'Balance sheet'!I$34</f>
        <v>5.2886748821018001E-2</v>
      </c>
      <c r="J50" s="21">
        <f>'Balance sheet'!J50/'Balance sheet'!J$34</f>
        <v>5.3857334038372021E-2</v>
      </c>
      <c r="K50" s="21">
        <f>'Balance sheet'!K50/'Balance sheet'!K$34</f>
        <v>4.9900008496387566E-2</v>
      </c>
    </row>
    <row r="51" spans="1:11">
      <c r="E51" s="19"/>
      <c r="F51" s="19"/>
      <c r="G51" s="19"/>
      <c r="H51" s="19"/>
      <c r="I51" s="19"/>
      <c r="J51" s="19"/>
      <c r="K51" s="19"/>
    </row>
    <row r="52" spans="1:11">
      <c r="A52" s="4" t="s">
        <v>50</v>
      </c>
      <c r="E52" s="19"/>
      <c r="F52" s="19"/>
      <c r="G52" s="19"/>
      <c r="H52" s="19"/>
      <c r="I52" s="19"/>
      <c r="J52" s="19"/>
      <c r="K52" s="19"/>
    </row>
    <row r="53" spans="1:11">
      <c r="B53" t="s">
        <v>43</v>
      </c>
      <c r="E53" s="19"/>
      <c r="F53" s="19"/>
      <c r="G53" s="19"/>
      <c r="H53" s="19"/>
      <c r="I53" s="19"/>
      <c r="J53" s="19"/>
      <c r="K53" s="19"/>
    </row>
    <row r="54" spans="1:11">
      <c r="C54" t="s">
        <v>44</v>
      </c>
      <c r="E54" s="19">
        <f>'Balance sheet'!E54/'Balance sheet'!E$34</f>
        <v>0.1548745081811076</v>
      </c>
      <c r="F54" s="19">
        <f>'Balance sheet'!F54/'Balance sheet'!F$34</f>
        <v>4.1713158696192819E-2</v>
      </c>
      <c r="G54" s="19">
        <f>'Balance sheet'!G54/'Balance sheet'!G$34</f>
        <v>4.9980757408397775E-2</v>
      </c>
      <c r="H54" s="19">
        <f>'Balance sheet'!H54/'Balance sheet'!H$34</f>
        <v>0</v>
      </c>
      <c r="I54" s="19">
        <f>'Balance sheet'!I54/'Balance sheet'!I$34</f>
        <v>0</v>
      </c>
      <c r="J54" s="19">
        <f>'Balance sheet'!J54/'Balance sheet'!J$34</f>
        <v>0</v>
      </c>
      <c r="K54" s="19">
        <f>'Balance sheet'!K54/'Balance sheet'!K$34</f>
        <v>0</v>
      </c>
    </row>
    <row r="55" spans="1:11">
      <c r="C55" t="s">
        <v>45</v>
      </c>
      <c r="E55" s="19">
        <f>'Balance sheet'!E55/'Balance sheet'!E$34</f>
        <v>1.515688940561347E-3</v>
      </c>
      <c r="F55" s="19">
        <f>'Balance sheet'!F55/'Balance sheet'!F$34</f>
        <v>1.9217444385779888E-3</v>
      </c>
      <c r="G55" s="19">
        <f>'Balance sheet'!G55/'Balance sheet'!G$34</f>
        <v>3.3049775836303027E-3</v>
      </c>
      <c r="H55" s="19">
        <f>'Balance sheet'!H55/'Balance sheet'!H$34</f>
        <v>1.8123003975335434E-3</v>
      </c>
      <c r="I55" s="19">
        <f>'Balance sheet'!I55/'Balance sheet'!I$34</f>
        <v>2.7939094427891688E-3</v>
      </c>
      <c r="J55" s="19">
        <f>'Balance sheet'!J55/'Balance sheet'!J$34</f>
        <v>2.4904249451594635E-3</v>
      </c>
      <c r="K55" s="19">
        <f>'Balance sheet'!K55/'Balance sheet'!K$34</f>
        <v>2.2159169275868711E-3</v>
      </c>
    </row>
    <row r="56" spans="1:11">
      <c r="C56" t="s">
        <v>51</v>
      </c>
      <c r="E56" s="19">
        <f>'Balance sheet'!E56/'Balance sheet'!E$34</f>
        <v>0.10259555573071644</v>
      </c>
      <c r="F56" s="19">
        <f>'Balance sheet'!F56/'Balance sheet'!F$34</f>
        <v>0.10065685091917903</v>
      </c>
      <c r="G56" s="19">
        <f>'Balance sheet'!G56/'Balance sheet'!G$34</f>
        <v>9.7732373036381007E-2</v>
      </c>
      <c r="H56" s="19">
        <f>'Balance sheet'!H56/'Balance sheet'!H$34</f>
        <v>8.8939516274190139E-2</v>
      </c>
      <c r="I56" s="19">
        <f>'Balance sheet'!I56/'Balance sheet'!I$34</f>
        <v>9.4547328789211002E-2</v>
      </c>
      <c r="J56" s="19">
        <f>'Balance sheet'!J56/'Balance sheet'!J$34</f>
        <v>8.0286304949816575E-2</v>
      </c>
      <c r="K56" s="19">
        <f>'Balance sheet'!K56/'Balance sheet'!K$34</f>
        <v>8.1037175828022612E-2</v>
      </c>
    </row>
    <row r="57" spans="1:11">
      <c r="C57" t="s">
        <v>52</v>
      </c>
      <c r="E57" s="19">
        <f>'Balance sheet'!E57/'Balance sheet'!E$34</f>
        <v>5.2190277257768938E-2</v>
      </c>
      <c r="F57" s="19">
        <f>'Balance sheet'!F57/'Balance sheet'!F$34</f>
        <v>7.5614326505045071E-2</v>
      </c>
      <c r="G57" s="19">
        <f>'Balance sheet'!G57/'Balance sheet'!G$34</f>
        <v>7.6386841066189537E-2</v>
      </c>
      <c r="H57" s="19">
        <f>'Balance sheet'!H57/'Balance sheet'!H$34</f>
        <v>7.45604245843383E-2</v>
      </c>
      <c r="I57" s="19">
        <f>'Balance sheet'!I57/'Balance sheet'!I$34</f>
        <v>3.1739950516289854E-2</v>
      </c>
      <c r="J57" s="19">
        <f>'Balance sheet'!J57/'Balance sheet'!J$34</f>
        <v>4.9550836097928527E-2</v>
      </c>
      <c r="K57" s="19">
        <f>'Balance sheet'!K57/'Balance sheet'!K$34</f>
        <v>4.2832493667736109E-2</v>
      </c>
    </row>
    <row r="58" spans="1:11">
      <c r="B58" t="s">
        <v>53</v>
      </c>
      <c r="E58" s="19">
        <f>'Balance sheet'!E58/'Balance sheet'!E$34</f>
        <v>8.2517193134569542E-3</v>
      </c>
      <c r="F58" s="19">
        <f>'Balance sheet'!F58/'Balance sheet'!F$34</f>
        <v>7.9183850431095819E-3</v>
      </c>
      <c r="G58" s="19">
        <f>'Balance sheet'!G58/'Balance sheet'!G$34</f>
        <v>6.6236998755479157E-3</v>
      </c>
      <c r="H58" s="19">
        <f>'Balance sheet'!H58/'Balance sheet'!H$34</f>
        <v>6.7040715046104635E-3</v>
      </c>
      <c r="I58" s="19">
        <f>'Balance sheet'!I58/'Balance sheet'!I$34</f>
        <v>1.2144915792249269E-2</v>
      </c>
      <c r="J58" s="19">
        <f>'Balance sheet'!J58/'Balance sheet'!J$34</f>
        <v>6.6972015866012978E-3</v>
      </c>
      <c r="K58" s="19">
        <f>'Balance sheet'!K58/'Balance sheet'!K$34</f>
        <v>6.1489644308899572E-3</v>
      </c>
    </row>
    <row r="59" spans="1:11">
      <c r="B59" t="s">
        <v>48</v>
      </c>
      <c r="E59" s="19">
        <f>'Balance sheet'!E59/'Balance sheet'!E$34</f>
        <v>4.6965009425844551E-4</v>
      </c>
      <c r="F59" s="19">
        <f>'Balance sheet'!F59/'Balance sheet'!F$34</f>
        <v>3.9365837634538738E-4</v>
      </c>
      <c r="G59" s="19">
        <f>'Balance sheet'!G59/'Balance sheet'!G$34</f>
        <v>3.6985760482214351E-4</v>
      </c>
      <c r="H59" s="19">
        <f>'Balance sheet'!H59/'Balance sheet'!H$34</f>
        <v>2.993072733724524E-4</v>
      </c>
      <c r="I59" s="19">
        <f>'Balance sheet'!I59/'Balance sheet'!I$34</f>
        <v>2.6735535937245914E-4</v>
      </c>
      <c r="J59" s="19">
        <f>'Balance sheet'!J59/'Balance sheet'!J$34</f>
        <v>2.383142581523854E-4</v>
      </c>
      <c r="K59" s="19">
        <f>'Balance sheet'!K59/'Balance sheet'!K$34</f>
        <v>2.1204598024589924E-4</v>
      </c>
    </row>
    <row r="60" spans="1:11">
      <c r="B60" t="s">
        <v>46</v>
      </c>
      <c r="E60" s="19">
        <f>'Balance sheet'!E60/'Balance sheet'!E$34</f>
        <v>3.7588428872642726E-3</v>
      </c>
      <c r="F60" s="19">
        <f>'Balance sheet'!F60/'Balance sheet'!F$34</f>
        <v>3.6652786662428635E-3</v>
      </c>
      <c r="G60" s="19">
        <f>'Balance sheet'!G60/'Balance sheet'!G$34</f>
        <v>3.4936549428470046E-3</v>
      </c>
      <c r="H60" s="19">
        <f>'Balance sheet'!H60/'Balance sheet'!H$34</f>
        <v>1.1499159162556762E-2</v>
      </c>
      <c r="I60" s="19">
        <f>'Balance sheet'!I60/'Balance sheet'!I$34</f>
        <v>1.260888299665852E-2</v>
      </c>
      <c r="J60" s="19">
        <f>'Balance sheet'!J60/'Balance sheet'!J$34</f>
        <v>6.4957396842859833E-3</v>
      </c>
      <c r="K60" s="19">
        <f>'Balance sheet'!K60/'Balance sheet'!K$34</f>
        <v>6.59165678753941E-3</v>
      </c>
    </row>
    <row r="61" spans="1:11">
      <c r="B61" t="s">
        <v>54</v>
      </c>
      <c r="E61" s="19">
        <f>'Balance sheet'!E61/'Balance sheet'!E$34</f>
        <v>2.1797676053100023E-2</v>
      </c>
      <c r="F61" s="19">
        <f>'Balance sheet'!F61/'Balance sheet'!F$34</f>
        <v>2.3737866079016283E-2</v>
      </c>
      <c r="G61" s="19">
        <f>'Balance sheet'!G61/'Balance sheet'!G$34</f>
        <v>4.221999530180881E-2</v>
      </c>
      <c r="H61" s="19">
        <f>'Balance sheet'!H61/'Balance sheet'!H$34</f>
        <v>1.6331274524425426E-2</v>
      </c>
      <c r="I61" s="19">
        <f>'Balance sheet'!I61/'Balance sheet'!I$34</f>
        <v>1.8359320090514952E-2</v>
      </c>
      <c r="J61" s="19">
        <f>'Balance sheet'!J61/'Balance sheet'!J$34</f>
        <v>1.6365064675804526E-2</v>
      </c>
      <c r="K61" s="19">
        <f>'Balance sheet'!K61/'Balance sheet'!K$34</f>
        <v>1.4561219323896235E-2</v>
      </c>
    </row>
    <row r="62" spans="1:11" s="7" customFormat="1">
      <c r="B62" s="8" t="s">
        <v>55</v>
      </c>
      <c r="C62" s="8"/>
      <c r="D62" s="8"/>
      <c r="E62" s="21">
        <f>'Balance sheet'!E62/'Balance sheet'!E$34</f>
        <v>0.34545391845823403</v>
      </c>
      <c r="F62" s="21">
        <f>'Balance sheet'!F62/'Balance sheet'!F$34</f>
        <v>0.25562126872370899</v>
      </c>
      <c r="G62" s="21">
        <f>'Balance sheet'!G62/'Balance sheet'!G$34</f>
        <v>0.28011215681962448</v>
      </c>
      <c r="H62" s="21">
        <f>'Balance sheet'!H62/'Balance sheet'!H$34</f>
        <v>0.20014605372102709</v>
      </c>
      <c r="I62" s="21">
        <f>'Balance sheet'!I62/'Balance sheet'!I$34</f>
        <v>0.17246166298708521</v>
      </c>
      <c r="J62" s="21">
        <f>'Balance sheet'!J62/'Balance sheet'!J$34</f>
        <v>0.16212388619774876</v>
      </c>
      <c r="K62" s="21">
        <f>'Balance sheet'!K62/'Balance sheet'!K$34</f>
        <v>0.15359947294591708</v>
      </c>
    </row>
    <row r="63" spans="1:11">
      <c r="B63" s="4"/>
      <c r="C63" s="4"/>
      <c r="D63" s="4"/>
      <c r="E63" s="23"/>
      <c r="F63" s="23"/>
      <c r="G63" s="23"/>
      <c r="H63" s="23"/>
      <c r="I63" s="23"/>
      <c r="J63" s="24"/>
      <c r="K63" s="24"/>
    </row>
    <row r="64" spans="1:11" s="7" customFormat="1">
      <c r="B64" s="8" t="s">
        <v>56</v>
      </c>
      <c r="C64" s="8"/>
      <c r="D64" s="8"/>
      <c r="E64" s="21">
        <f>'Balance sheet'!E64/'Balance sheet'!E$34</f>
        <v>0.44244323145538988</v>
      </c>
      <c r="F64" s="21">
        <f>'Balance sheet'!F64/'Balance sheet'!F$34</f>
        <v>0.45955359672093216</v>
      </c>
      <c r="G64" s="21">
        <f>'Balance sheet'!G64/'Balance sheet'!G$34</f>
        <v>0.45833853966223015</v>
      </c>
      <c r="H64" s="21">
        <f>'Balance sheet'!H64/'Balance sheet'!H$34</f>
        <v>0.32324671250559267</v>
      </c>
      <c r="I64" s="21">
        <f>'Balance sheet'!I64/'Balance sheet'!I$34</f>
        <v>0.22534841180810322</v>
      </c>
      <c r="J64" s="21">
        <f>'Balance sheet'!J64/'Balance sheet'!J$34</f>
        <v>0.21598122023612079</v>
      </c>
      <c r="K64" s="21">
        <f>'Balance sheet'!K64/'Balance sheet'!K$34</f>
        <v>0.20349948144230467</v>
      </c>
    </row>
    <row r="65" spans="2:11">
      <c r="E65" s="19"/>
      <c r="F65" s="19"/>
      <c r="G65" s="19"/>
      <c r="H65" s="19"/>
      <c r="I65" s="19"/>
      <c r="J65" s="19"/>
      <c r="K65" s="19"/>
    </row>
    <row r="66" spans="2:11" s="7" customFormat="1">
      <c r="B66" s="8" t="s">
        <v>57</v>
      </c>
      <c r="C66" s="8"/>
      <c r="D66" s="8"/>
      <c r="E66" s="21">
        <f>'Balance sheet'!E66/'Balance sheet'!E$34</f>
        <v>1</v>
      </c>
      <c r="F66" s="21">
        <f>'Balance sheet'!F66/'Balance sheet'!F$34</f>
        <v>1.0000000000000002</v>
      </c>
      <c r="G66" s="21">
        <f>'Balance sheet'!G66/'Balance sheet'!G$34</f>
        <v>1.0000000000000002</v>
      </c>
      <c r="H66" s="21">
        <f>'Balance sheet'!H66/'Balance sheet'!H$34</f>
        <v>0.99999999999999989</v>
      </c>
      <c r="I66" s="21">
        <f>'Balance sheet'!I66/'Balance sheet'!I$34</f>
        <v>1.0000000000000002</v>
      </c>
      <c r="J66" s="21">
        <f>'Balance sheet'!J66/'Balance sheet'!J$34</f>
        <v>1.0000000000000004</v>
      </c>
      <c r="K66" s="21">
        <f>'Balance sheet'!K66/'Balance sheet'!K$34</f>
        <v>1.0000000000000002</v>
      </c>
    </row>
    <row r="68" spans="2:11">
      <c r="E68" t="b">
        <f>E66=E34</f>
        <v>1</v>
      </c>
      <c r="F68" t="b">
        <f t="shared" ref="F68:K68" si="0">F66=F34</f>
        <v>1</v>
      </c>
      <c r="G68" t="b">
        <f t="shared" si="0"/>
        <v>1</v>
      </c>
      <c r="H68" t="b">
        <f t="shared" si="0"/>
        <v>1</v>
      </c>
      <c r="I68" t="b">
        <f t="shared" si="0"/>
        <v>1</v>
      </c>
      <c r="J68" t="b">
        <f t="shared" si="0"/>
        <v>1</v>
      </c>
      <c r="K68" t="b">
        <f t="shared" si="0"/>
        <v>1</v>
      </c>
    </row>
  </sheetData>
  <pageMargins left="0.7" right="0.7" top="0.75" bottom="0.75" header="0.3" footer="0.3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showGridLines="0" workbookViewId="0">
      <pane xSplit="3" ySplit="2" topLeftCell="D3" activePane="bottomRight" state="frozen"/>
      <selection activeCell="F44" sqref="F44"/>
      <selection pane="topRight" activeCell="F44" sqref="F44"/>
      <selection pane="bottomLeft" activeCell="F44" sqref="F44"/>
      <selection pane="bottomRight" activeCell="A14" sqref="A14"/>
    </sheetView>
  </sheetViews>
  <sheetFormatPr defaultRowHeight="15"/>
  <cols>
    <col min="1" max="1" width="4.28515625" style="4" customWidth="1"/>
    <col min="2" max="2" width="4.28515625" customWidth="1"/>
    <col min="3" max="3" width="31.5703125" customWidth="1"/>
    <col min="4" max="4" width="3.7109375" customWidth="1"/>
  </cols>
  <sheetData>
    <row r="1" spans="1:11" ht="18.75">
      <c r="A1" s="2" t="s">
        <v>197</v>
      </c>
    </row>
    <row r="2" spans="1:11">
      <c r="A2" s="1"/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4" spans="1:11">
      <c r="A4" s="4" t="s">
        <v>198</v>
      </c>
    </row>
    <row r="5" spans="1:11">
      <c r="A5" s="4" t="s">
        <v>200</v>
      </c>
    </row>
    <row r="7" spans="1:11">
      <c r="A7" s="4" t="s">
        <v>199</v>
      </c>
    </row>
    <row r="8" spans="1:11">
      <c r="A8" s="4" t="s">
        <v>101</v>
      </c>
    </row>
    <row r="10" spans="1:11">
      <c r="A10" s="4" t="s">
        <v>201</v>
      </c>
    </row>
    <row r="11" spans="1:11">
      <c r="A11" s="4" t="s">
        <v>101</v>
      </c>
    </row>
    <row r="13" spans="1:11">
      <c r="A13" s="4" t="s">
        <v>202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Sheet1</vt:lpstr>
      <vt:lpstr>Valuation</vt:lpstr>
      <vt:lpstr>About company</vt:lpstr>
      <vt:lpstr>Assumptions</vt:lpstr>
      <vt:lpstr>Income Statement</vt:lpstr>
      <vt:lpstr>Balance sheet</vt:lpstr>
      <vt:lpstr>Cashflow statement</vt:lpstr>
      <vt:lpstr>Asset Schedule</vt:lpstr>
      <vt:lpstr>Ratio analysis</vt:lpstr>
      <vt:lpstr>P&amp;L Vertical analysis </vt:lpstr>
      <vt:lpstr>BS Vertical analysis</vt:lpstr>
      <vt:lpstr>Revenue Model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2022-11-19T12:45:23Z</dcterms:created>
  <dcterms:modified xsi:type="dcterms:W3CDTF">2023-01-05T16:23:08Z</dcterms:modified>
</cp:coreProperties>
</file>